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5200" windowHeight="11250" activeTab="1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b)'!$A$20</definedName>
    <definedName name="GASTO_E_FIN">'Formato 6 b)'!$A$29</definedName>
    <definedName name="GASTO_E_FIN_01">'Formato 6 b)'!$B$29</definedName>
    <definedName name="GASTO_E_FIN_02">'Formato 6 b)'!$C$29</definedName>
    <definedName name="GASTO_E_FIN_03">'Formato 6 b)'!$D$29</definedName>
    <definedName name="GASTO_E_FIN_04">'Formato 6 b)'!$E$29</definedName>
    <definedName name="GASTO_E_FIN_05">'Formato 6 b)'!$F$29</definedName>
    <definedName name="GASTO_E_FIN_06">'Formato 6 b)'!$G$29</definedName>
    <definedName name="GASTO_E_T1">'Formato 6 b)'!$B$20</definedName>
    <definedName name="GASTO_E_T2">'Formato 6 b)'!$C$20</definedName>
    <definedName name="GASTO_E_T3">'Formato 6 b)'!$D$20</definedName>
    <definedName name="GASTO_E_T4">'Formato 6 b)'!$E$20</definedName>
    <definedName name="GASTO_E_T5">'Formato 6 b)'!$F$20</definedName>
    <definedName name="GASTO_E_T6">'Formato 6 b)'!$G$20</definedName>
    <definedName name="GASTO_NE">'Formato 6 b)'!$A$9</definedName>
    <definedName name="GASTO_NE_FIN">'Formato 6 b)'!$A$19</definedName>
    <definedName name="GASTO_NE_FIN_01">'Formato 6 b)'!$B$19</definedName>
    <definedName name="GASTO_NE_FIN_02">'Formato 6 b)'!$C$19</definedName>
    <definedName name="GASTO_NE_FIN_03">'Formato 6 b)'!$D$19</definedName>
    <definedName name="GASTO_NE_FIN_04">'Formato 6 b)'!$E$19</definedName>
    <definedName name="GASTO_NE_FIN_05">'Formato 6 b)'!$F$19</definedName>
    <definedName name="GASTO_NE_FIN_06">'Formato 6 b)'!$G$19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b)'!$B$30</definedName>
    <definedName name="TOTAL_E_T2">'Formato 6 b)'!$C$30</definedName>
    <definedName name="TOTAL_E_T3">'Formato 6 b)'!$D$30</definedName>
    <definedName name="TOTAL_E_T4">'Formato 6 b)'!$E$30</definedName>
    <definedName name="TOTAL_E_T5">'Formato 6 b)'!$F$30</definedName>
    <definedName name="TOTAL_E_T6">'Formato 6 b)'!$G$30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4" l="1"/>
  <c r="E19" i="8"/>
  <c r="F19" i="8"/>
  <c r="E10" i="6"/>
  <c r="F10" i="6"/>
  <c r="F79" i="1"/>
  <c r="E63" i="1"/>
  <c r="E68" i="1"/>
  <c r="E79" i="1"/>
  <c r="D24" i="9"/>
  <c r="E12" i="9"/>
  <c r="F12" i="9"/>
  <c r="D12" i="9"/>
  <c r="E27" i="8"/>
  <c r="D53" i="8"/>
  <c r="G18" i="7"/>
  <c r="D11" i="7"/>
  <c r="D12" i="7"/>
  <c r="D13" i="7"/>
  <c r="D14" i="7"/>
  <c r="D15" i="7"/>
  <c r="D16" i="7"/>
  <c r="D17" i="7"/>
  <c r="D18" i="7"/>
  <c r="D10" i="7"/>
  <c r="B9" i="7"/>
  <c r="F77" i="6"/>
  <c r="F78" i="6"/>
  <c r="F79" i="6"/>
  <c r="F80" i="6"/>
  <c r="F81" i="6"/>
  <c r="F82" i="6"/>
  <c r="F76" i="6"/>
  <c r="F73" i="6"/>
  <c r="F74" i="6"/>
  <c r="F72" i="6"/>
  <c r="F64" i="6"/>
  <c r="F65" i="6"/>
  <c r="F66" i="6"/>
  <c r="F67" i="6"/>
  <c r="F68" i="6"/>
  <c r="F69" i="6"/>
  <c r="F70" i="6"/>
  <c r="F63" i="6"/>
  <c r="F60" i="6"/>
  <c r="F61" i="6"/>
  <c r="F59" i="6"/>
  <c r="F50" i="6"/>
  <c r="F51" i="6"/>
  <c r="F52" i="6"/>
  <c r="F53" i="6"/>
  <c r="F54" i="6"/>
  <c r="F55" i="6"/>
  <c r="F56" i="6"/>
  <c r="F57" i="6"/>
  <c r="F40" i="6"/>
  <c r="F41" i="6"/>
  <c r="F42" i="6"/>
  <c r="F43" i="6"/>
  <c r="F44" i="6"/>
  <c r="F45" i="6"/>
  <c r="F46" i="6"/>
  <c r="F47" i="6"/>
  <c r="F39" i="6"/>
  <c r="D77" i="6"/>
  <c r="D78" i="6"/>
  <c r="D79" i="6"/>
  <c r="D80" i="6"/>
  <c r="D81" i="6"/>
  <c r="D82" i="6"/>
  <c r="D76" i="6"/>
  <c r="D64" i="6"/>
  <c r="D65" i="6"/>
  <c r="D66" i="6"/>
  <c r="D67" i="6"/>
  <c r="D68" i="6"/>
  <c r="D69" i="6"/>
  <c r="D70" i="6"/>
  <c r="D71" i="6"/>
  <c r="D72" i="6"/>
  <c r="D73" i="6"/>
  <c r="D74" i="6"/>
  <c r="D63" i="6"/>
  <c r="D50" i="6"/>
  <c r="D51" i="6"/>
  <c r="D52" i="6"/>
  <c r="D53" i="6"/>
  <c r="D54" i="6"/>
  <c r="D55" i="6"/>
  <c r="D56" i="6"/>
  <c r="D57" i="6"/>
  <c r="D58" i="6"/>
  <c r="D59" i="6"/>
  <c r="D60" i="6"/>
  <c r="D61" i="6"/>
  <c r="D49" i="6"/>
  <c r="D40" i="6"/>
  <c r="D41" i="6"/>
  <c r="D42" i="6"/>
  <c r="D43" i="6"/>
  <c r="D44" i="6"/>
  <c r="D45" i="6"/>
  <c r="D46" i="6"/>
  <c r="D47" i="6"/>
  <c r="D39" i="6"/>
  <c r="D30" i="6"/>
  <c r="D31" i="6"/>
  <c r="D32" i="6"/>
  <c r="D33" i="6"/>
  <c r="D34" i="6"/>
  <c r="D35" i="6"/>
  <c r="D36" i="6"/>
  <c r="D37" i="6"/>
  <c r="D29" i="6"/>
  <c r="D20" i="6"/>
  <c r="D21" i="6"/>
  <c r="D22" i="6"/>
  <c r="D23" i="6"/>
  <c r="D24" i="6"/>
  <c r="D25" i="6"/>
  <c r="D26" i="6"/>
  <c r="D27" i="6"/>
  <c r="D19" i="6"/>
  <c r="D12" i="6"/>
  <c r="D13" i="6"/>
  <c r="D14" i="6"/>
  <c r="D15" i="6"/>
  <c r="D16" i="6"/>
  <c r="D17" i="6"/>
  <c r="D11" i="6"/>
  <c r="D10" i="6"/>
  <c r="C58" i="6"/>
  <c r="D13" i="4"/>
  <c r="D37" i="4"/>
  <c r="D40" i="4"/>
  <c r="D44" i="4"/>
  <c r="D11" i="4"/>
  <c r="D8" i="4"/>
  <c r="D17" i="4"/>
  <c r="D21" i="4"/>
  <c r="C13" i="4"/>
  <c r="C17" i="4"/>
  <c r="C21" i="4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2" i="7"/>
  <c r="G23" i="7"/>
  <c r="G24" i="7"/>
  <c r="G25" i="7"/>
  <c r="G26" i="7"/>
  <c r="G27" i="7"/>
  <c r="G28" i="7"/>
  <c r="G21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6" i="9"/>
  <c r="D9" i="9"/>
  <c r="R2" i="27"/>
  <c r="E16" i="9"/>
  <c r="E9" i="9"/>
  <c r="S2" i="27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37" i="8"/>
  <c r="E9" i="8"/>
  <c r="S2" i="26"/>
  <c r="F10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0" i="7"/>
  <c r="G30" i="7"/>
  <c r="U4" i="25"/>
  <c r="F9" i="7"/>
  <c r="F20" i="7"/>
  <c r="F30" i="7"/>
  <c r="T4" i="25"/>
  <c r="E9" i="7"/>
  <c r="E20" i="7"/>
  <c r="E30" i="7"/>
  <c r="S4" i="25"/>
  <c r="S3" i="25"/>
  <c r="D9" i="7"/>
  <c r="D20" i="7"/>
  <c r="D30" i="7"/>
  <c r="R4" i="25"/>
  <c r="R3" i="25"/>
  <c r="C9" i="7"/>
  <c r="C20" i="7"/>
  <c r="C30" i="7"/>
  <c r="Q4" i="25"/>
  <c r="B20" i="7"/>
  <c r="B30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71" i="6"/>
  <c r="C75" i="6"/>
  <c r="C9" i="6"/>
  <c r="C159" i="6"/>
  <c r="Q150" i="24"/>
  <c r="D18" i="6"/>
  <c r="D28" i="6"/>
  <c r="D38" i="6"/>
  <c r="D48" i="6"/>
  <c r="D75" i="6"/>
  <c r="D9" i="6"/>
  <c r="D159" i="6"/>
  <c r="R150" i="24"/>
  <c r="E18" i="6"/>
  <c r="E28" i="6"/>
  <c r="E38" i="6"/>
  <c r="E48" i="6"/>
  <c r="E58" i="6"/>
  <c r="E71" i="6"/>
  <c r="E75" i="6"/>
  <c r="E9" i="6"/>
  <c r="E159" i="6"/>
  <c r="S150" i="24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B64" i="4"/>
  <c r="B63" i="4"/>
  <c r="B55" i="4"/>
  <c r="B49" i="4"/>
  <c r="B48" i="4"/>
  <c r="B37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Q119" i="15"/>
  <c r="E9" i="1"/>
  <c r="E19" i="1"/>
  <c r="E23" i="1"/>
  <c r="E27" i="1"/>
  <c r="E31" i="1"/>
  <c r="E38" i="1"/>
  <c r="E42" i="1"/>
  <c r="E47" i="1"/>
  <c r="E57" i="1"/>
  <c r="E59" i="1"/>
  <c r="E75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47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4" i="4"/>
  <c r="D64" i="4"/>
  <c r="C63" i="4"/>
  <c r="D63" i="4"/>
  <c r="C55" i="4"/>
  <c r="D55" i="4"/>
  <c r="C49" i="4"/>
  <c r="D49" i="4"/>
  <c r="C29" i="4"/>
  <c r="D29" i="4"/>
  <c r="C40" i="4"/>
  <c r="C37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Q5" i="18"/>
  <c r="Q39" i="18"/>
  <c r="R5" i="18"/>
  <c r="R39" i="18"/>
  <c r="P13" i="18"/>
  <c r="R2" i="18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<sst xmlns="http://schemas.openxmlformats.org/spreadsheetml/2006/main" count="4244" uniqueCount="3314">
  <si>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</si>
  <si>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</si>
  <si>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</si>
  <si>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</si>
  <si>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</si>
  <si>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</si>
  <si>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</si>
  <si>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</si>
  <si>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</si>
  <si>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</si>
  <si>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</si>
  <si>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</si>
  <si>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</si>
  <si>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</si>
  <si>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</si>
  <si>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</si>
  <si>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</si>
  <si>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</si>
  <si>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</si>
  <si>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</si>
  <si>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</si>
  <si>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</si>
  <si>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</si>
  <si>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</si>
  <si>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</si>
  <si>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</si>
  <si>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</si>
  <si>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</si>
  <si>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</si>
  <si>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</si>
  <si>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</si>
  <si>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</si>
  <si>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</si>
  <si>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</si>
  <si>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</si>
  <si>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</si>
  <si>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</si>
  <si>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</si>
  <si>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</si>
  <si>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</si>
  <si>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</si>
  <si>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</si>
  <si>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</si>
  <si>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</si>
  <si>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</si>
  <si>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</si>
  <si>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</si>
  <si>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</si>
  <si>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</si>
  <si>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</si>
  <si>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</si>
  <si>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</si>
  <si>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</si>
  <si>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</si>
  <si>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</si>
  <si>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</si>
  <si>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</si>
  <si>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</si>
  <si>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</si>
  <si>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</si>
  <si>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</si>
  <si>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</si>
  <si>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</si>
  <si>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</si>
  <si>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</si>
  <si>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</si>
  <si>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</si>
  <si>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</si>
  <si>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</si>
  <si>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</si>
  <si>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</si>
  <si>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</si>
  <si>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</si>
  <si>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</si>
  <si>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</si>
  <si>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</si>
  <si>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</si>
  <si>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</si>
  <si>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</si>
  <si>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</si>
  <si>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</si>
  <si>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</si>
  <si>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</si>
  <si>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</si>
  <si>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</si>
  <si>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</si>
  <si>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</si>
  <si>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</si>
  <si>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</si>
  <si>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</si>
  <si>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</si>
  <si>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</si>
  <si>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</si>
  <si>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</si>
  <si>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</si>
  <si>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</si>
  <si>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</si>
  <si>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</si>
  <si>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</si>
  <si>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</si>
  <si>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</si>
  <si>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</si>
  <si>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</si>
  <si>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</si>
  <si>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</si>
  <si>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</si>
  <si>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</si>
  <si>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</si>
  <si>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</si>
  <si>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</si>
  <si>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</si>
  <si>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</si>
  <si>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</si>
  <si>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</si>
  <si>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</si>
  <si>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</si>
  <si>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</si>
  <si>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</si>
  <si>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</si>
  <si>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</si>
  <si>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</si>
  <si>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</si>
  <si>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</si>
  <si>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</si>
  <si>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</si>
  <si>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</si>
  <si>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</si>
  <si>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</si>
  <si>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</si>
  <si>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</si>
  <si>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</si>
  <si>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</si>
  <si>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</si>
  <si>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</si>
  <si>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</si>
  <si>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</si>
  <si>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</si>
  <si>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</si>
  <si>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</si>
  <si>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</si>
  <si>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</si>
  <si>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</si>
  <si>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</si>
  <si>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</si>
  <si>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</si>
  <si>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</si>
  <si>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</si>
  <si>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</si>
  <si>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</si>
  <si>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</si>
  <si>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</si>
  <si>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</si>
  <si>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</si>
  <si>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</si>
  <si>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</si>
  <si>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</si>
  <si>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</si>
  <si>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</si>
  <si>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</si>
  <si>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</si>
  <si>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</si>
  <si>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</si>
  <si>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</si>
  <si>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</si>
  <si>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</si>
  <si>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</si>
  <si>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</si>
  <si>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</si>
  <si>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</si>
  <si>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</si>
  <si>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</si>
  <si>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</si>
  <si>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</si>
  <si>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</si>
  <si>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</si>
  <si>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</si>
  <si>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</si>
  <si>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</si>
  <si>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</si>
  <si>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</si>
  <si>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</si>
  <si>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</si>
  <si>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</si>
  <si>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</si>
  <si>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</si>
  <si>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</si>
  <si>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</si>
  <si>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</si>
  <si>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</si>
  <si>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</si>
  <si>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</si>
  <si>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</si>
  <si>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</si>
  <si>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</si>
  <si>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</si>
  <si>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</si>
  <si>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</si>
  <si>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</si>
  <si>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</si>
  <si>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</si>
  <si>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</si>
  <si>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</si>
  <si>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</si>
  <si>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</si>
  <si>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</si>
  <si>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</si>
  <si>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</si>
  <si>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</si>
  <si>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</si>
  <si>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</si>
  <si>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</si>
  <si>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</si>
  <si>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</si>
  <si>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</si>
  <si>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</si>
  <si>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</si>
  <si>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</si>
  <si>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</si>
  <si>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</si>
  <si>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</si>
  <si>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</si>
  <si>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</si>
  <si>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</si>
  <si>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</si>
  <si>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</si>
  <si>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</si>
  <si>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</si>
  <si>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</si>
  <si>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</si>
  <si>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</si>
  <si>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</si>
  <si>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</si>
  <si>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</si>
  <si>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</si>
  <si>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</si>
  <si>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</si>
  <si>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</si>
  <si>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</si>
  <si>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</si>
  <si>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</si>
  <si>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</si>
  <si>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</si>
  <si>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</si>
  <si>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</si>
  <si>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</si>
  <si>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</si>
  <si>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</si>
  <si>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</si>
  <si>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</si>
  <si>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</si>
  <si>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</si>
  <si>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</si>
  <si>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</si>
  <si>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</si>
  <si>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</si>
  <si>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</si>
  <si>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</si>
  <si>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</si>
  <si>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</si>
  <si>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</si>
  <si>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</si>
  <si>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</si>
  <si>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</si>
  <si>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</si>
  <si>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</si>
  <si>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</si>
  <si>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</si>
  <si>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</si>
  <si>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</si>
  <si>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</si>
  <si>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</si>
  <si>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</si>
  <si>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</si>
  <si>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</si>
  <si>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</si>
  <si>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</si>
  <si>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</si>
  <si>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</si>
  <si>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</si>
  <si>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</si>
  <si>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</si>
  <si>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</si>
  <si>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</si>
  <si>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</si>
  <si>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</si>
  <si>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</si>
  <si>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</si>
  <si>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</si>
  <si>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</si>
  <si>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</si>
  <si>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</si>
  <si>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</si>
  <si>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</si>
  <si>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</si>
  <si>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</si>
  <si>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</si>
  <si>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</si>
  <si>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</si>
  <si>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</si>
  <si>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</si>
  <si>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</si>
  <si>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</si>
  <si>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</si>
  <si>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</si>
  <si>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</si>
  <si>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</si>
  <si>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</si>
  <si>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</si>
  <si>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</si>
  <si>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</si>
  <si>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</si>
  <si>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</si>
  <si>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</si>
  <si>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</si>
  <si>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</si>
  <si>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</si>
  <si>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</si>
  <si>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</si>
  <si>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</si>
  <si>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</si>
  <si>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</si>
  <si>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</si>
  <si>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</si>
  <si>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</si>
  <si>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</si>
  <si>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</si>
  <si>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</si>
  <si>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</si>
  <si>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</si>
  <si>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</si>
  <si>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</si>
  <si>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</si>
  <si>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</si>
  <si>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</si>
  <si>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</si>
  <si>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</si>
  <si>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</si>
  <si>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</si>
  <si>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</si>
  <si>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</si>
  <si>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</si>
  <si>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</si>
  <si>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</si>
  <si>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</si>
  <si>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</si>
  <si>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</si>
  <si>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</si>
  <si>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</si>
  <si>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</si>
  <si>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</si>
  <si>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</si>
  <si>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</si>
  <si>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</si>
  <si>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</si>
  <si>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</si>
  <si>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</si>
  <si>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</si>
  <si>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</si>
  <si>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</si>
  <si>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</si>
  <si>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</si>
  <si>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</si>
  <si>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</si>
  <si>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</si>
  <si>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</si>
  <si>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</si>
  <si>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</si>
  <si>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</si>
  <si>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</si>
  <si>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</si>
  <si>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</si>
  <si>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</si>
  <si>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</si>
  <si>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</si>
  <si>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</si>
  <si>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</si>
  <si>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</si>
  <si>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</si>
  <si>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</si>
  <si>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</si>
  <si>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</si>
  <si>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</si>
  <si>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</si>
  <si>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</si>
  <si>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</si>
  <si>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</si>
  <si>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</si>
  <si>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</si>
  <si>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</si>
  <si>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</si>
  <si>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</si>
  <si>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</si>
  <si>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</si>
  <si>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</si>
  <si>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</si>
  <si>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</si>
  <si>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</si>
  <si>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</si>
  <si>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</si>
  <si>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</si>
  <si>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</si>
  <si>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</si>
  <si>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</si>
  <si>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</si>
  <si>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</si>
  <si>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</si>
  <si>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</si>
  <si>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</si>
  <si>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</si>
  <si>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</si>
  <si>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</si>
  <si>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</si>
  <si>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</si>
  <si>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</si>
  <si>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</si>
  <si>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</si>
  <si>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</si>
  <si>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</si>
  <si>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</si>
  <si>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</si>
  <si>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</si>
  <si>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</si>
  <si>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</si>
  <si>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</si>
  <si>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</si>
  <si>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</si>
  <si>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</si>
  <si>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</si>
  <si>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</si>
  <si>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</si>
  <si>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</si>
  <si>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</si>
  <si>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</si>
  <si>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</si>
  <si>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</si>
  <si>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</si>
  <si>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</si>
  <si>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</si>
  <si>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</si>
  <si>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</si>
  <si>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</si>
  <si>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</si>
  <si>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</si>
  <si>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</si>
  <si>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</si>
  <si>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</si>
  <si>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</si>
  <si>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</si>
  <si>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</si>
  <si>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</si>
  <si>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</si>
  <si>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</si>
  <si>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</si>
  <si>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</si>
  <si>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</si>
  <si>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</si>
  <si>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</si>
  <si>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</si>
  <si>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</si>
  <si>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</si>
  <si>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</si>
  <si>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</si>
  <si>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</si>
  <si>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</si>
  <si>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</si>
  <si>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</si>
  <si>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</si>
  <si>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</si>
  <si>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</si>
  <si>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</si>
  <si>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</si>
  <si>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</si>
  <si>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</si>
  <si>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</si>
  <si>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</si>
  <si>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</si>
  <si>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</si>
  <si>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</si>
  <si>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</si>
  <si>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</si>
  <si>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</si>
  <si>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</si>
  <si>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</si>
  <si>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</si>
  <si>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</si>
  <si>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</si>
  <si>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</si>
  <si>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</si>
  <si>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</si>
  <si>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</si>
  <si>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</si>
  <si>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</si>
  <si>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</si>
  <si>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</si>
  <si>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</si>
  <si>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</si>
  <si>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</si>
  <si>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</si>
  <si>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</si>
  <si>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</si>
  <si>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</si>
  <si>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</si>
  <si>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</si>
  <si>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</si>
  <si>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</si>
  <si>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</si>
  <si>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</si>
  <si>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</si>
  <si>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</si>
  <si>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</si>
  <si>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</si>
  <si>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</si>
  <si>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</si>
  <si>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</si>
  <si>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</si>
  <si>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</si>
  <si>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</si>
  <si>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</si>
  <si>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</si>
  <si>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</si>
  <si>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</si>
  <si>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</si>
  <si>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</si>
  <si>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</si>
  <si>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</si>
  <si>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</si>
  <si>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</si>
  <si>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</si>
  <si>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</si>
  <si>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</si>
  <si>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</si>
  <si>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</si>
  <si>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</si>
  <si>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</si>
  <si>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</si>
  <si>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</si>
  <si>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</si>
  <si>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</si>
  <si>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</si>
  <si>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</si>
  <si>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</si>
  <si>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</si>
  <si>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</si>
  <si>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</si>
  <si>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</si>
  <si>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</si>
  <si>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</si>
  <si>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</si>
  <si>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</si>
  <si>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</si>
  <si>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</si>
  <si>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</si>
  <si>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</si>
  <si>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</si>
  <si>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</si>
  <si>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</si>
  <si>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</si>
  <si>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</si>
  <si>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</si>
  <si>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</si>
  <si>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</si>
  <si>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</si>
  <si>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</si>
  <si>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</si>
  <si>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</si>
  <si>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</si>
  <si>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</si>
  <si>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</si>
  <si>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</si>
  <si>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</si>
  <si>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</si>
  <si>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</si>
  <si>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</si>
  <si>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</si>
  <si>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</si>
  <si>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</si>
  <si>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</si>
  <si>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</si>
  <si>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</si>
  <si>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</si>
  <si>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</si>
  <si>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</si>
  <si>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</si>
  <si>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</si>
  <si>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</si>
  <si>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</si>
  <si>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</si>
  <si>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</si>
  <si>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</si>
  <si>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</si>
  <si>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</si>
  <si>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</si>
  <si>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</si>
  <si>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</si>
  <si>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</si>
  <si>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</si>
  <si>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</si>
  <si>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</si>
  <si>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</si>
  <si>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</si>
  <si>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</si>
  <si>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</si>
  <si>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</si>
  <si>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</si>
  <si>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</si>
  <si>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</si>
  <si>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</si>
  <si>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</si>
  <si>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</si>
  <si>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</si>
  <si>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</si>
  <si>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</si>
  <si>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</si>
  <si>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</si>
  <si>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</si>
  <si>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</si>
  <si>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</si>
  <si>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</si>
  <si>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</si>
  <si>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</si>
  <si>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</si>
  <si>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</si>
  <si>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</si>
  <si>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</si>
  <si>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</si>
  <si>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</si>
  <si>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</si>
  <si>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</si>
  <si>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</si>
  <si>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</si>
  <si>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</si>
  <si>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</si>
  <si>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</si>
  <si>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</si>
  <si>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</si>
  <si>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</si>
  <si>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</si>
  <si>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</si>
  <si>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</si>
  <si>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</si>
  <si>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</si>
  <si>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</si>
  <si>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</si>
  <si>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</si>
  <si>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</si>
  <si>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</si>
  <si>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</si>
  <si>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</si>
  <si>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</si>
  <si>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</si>
  <si>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</si>
  <si>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</si>
  <si>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</si>
  <si>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</si>
  <si>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</si>
  <si>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</si>
  <si>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</si>
  <si>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</si>
  <si>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</si>
  <si>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</si>
  <si>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</si>
  <si>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</si>
  <si>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</si>
  <si>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</si>
  <si>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</si>
  <si>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</si>
  <si>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</si>
  <si>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</si>
  <si>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</si>
  <si>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</si>
  <si>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</si>
  <si>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</si>
  <si>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</si>
  <si>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</si>
  <si>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</si>
  <si>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</si>
  <si>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</si>
  <si>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</si>
  <si>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</si>
  <si>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</si>
  <si>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</si>
  <si>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</si>
  <si>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</si>
  <si>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</si>
  <si>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</si>
  <si>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</si>
  <si>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</si>
  <si>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</si>
  <si>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</si>
  <si>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</si>
  <si>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</si>
  <si>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</si>
  <si>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</si>
  <si>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</si>
  <si>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</si>
  <si>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</si>
  <si>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</si>
  <si>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</si>
  <si>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</si>
  <si>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</si>
  <si>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</si>
  <si>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</si>
  <si>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</si>
  <si>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</si>
  <si>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</si>
  <si>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</si>
  <si>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</si>
  <si>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</si>
  <si>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</si>
  <si>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</si>
  <si>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</si>
  <si>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</si>
  <si>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</si>
  <si>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</si>
  <si>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</si>
  <si>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</si>
  <si>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</si>
  <si>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</si>
  <si>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</si>
  <si>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</si>
  <si>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</si>
  <si>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</si>
  <si>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</si>
  <si>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</si>
  <si>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</si>
  <si>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</si>
  <si>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</si>
  <si>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</si>
  <si>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</si>
  <si>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</si>
  <si>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</si>
  <si>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</si>
  <si>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</si>
  <si>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</si>
  <si>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</si>
  <si>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</si>
  <si>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</si>
  <si>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</si>
  <si>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</si>
  <si>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</si>
  <si>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</si>
  <si>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</si>
  <si>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</si>
  <si>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</si>
  <si>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</si>
  <si>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</si>
  <si>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</si>
  <si>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</si>
  <si>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</si>
  <si>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</si>
  <si>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</si>
  <si>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</si>
  <si>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</si>
  <si>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</si>
  <si>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</si>
  <si>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</si>
  <si>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</si>
  <si>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</si>
  <si>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</si>
  <si>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</si>
  <si>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</si>
  <si>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</si>
  <si>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</si>
  <si>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</si>
  <si>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</si>
  <si>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</si>
  <si>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</si>
  <si>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</si>
  <si>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</si>
  <si>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</si>
  <si>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</si>
  <si>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</si>
  <si>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</si>
  <si>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</si>
  <si>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</si>
  <si>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</si>
  <si>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</si>
  <si>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</si>
  <si>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</si>
  <si>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</si>
  <si>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</si>
  <si>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</si>
  <si>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</si>
  <si>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</si>
  <si>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</si>
  <si>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</si>
  <si>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</si>
  <si>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</si>
  <si>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</si>
  <si>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</si>
  <si>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</si>
  <si>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</si>
  <si>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</si>
  <si>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</si>
  <si>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</si>
  <si>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</si>
  <si>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</si>
  <si>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</si>
  <si>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</si>
  <si>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</si>
  <si>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</si>
  <si>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</si>
  <si>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</si>
  <si>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</si>
  <si>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</si>
  <si>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</si>
  <si>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</si>
  <si>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</si>
  <si>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</si>
  <si>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</si>
  <si>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</si>
  <si>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</si>
  <si>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</si>
  <si>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</si>
  <si>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</si>
  <si>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</si>
  <si>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</si>
  <si>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</si>
  <si>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</si>
  <si>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</si>
  <si>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</si>
  <si>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</si>
  <si>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</si>
  <si>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</si>
  <si>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</si>
  <si>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</si>
  <si>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</si>
  <si>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</si>
  <si>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</si>
  <si>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</si>
  <si>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</si>
  <si>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</si>
  <si>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</si>
  <si>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</si>
  <si>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</si>
  <si>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</si>
  <si>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</si>
  <si>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</si>
  <si>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</si>
  <si>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</si>
  <si>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</si>
  <si>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</si>
  <si>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</si>
  <si>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</si>
  <si>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</si>
  <si>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</si>
  <si>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</si>
  <si>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</si>
  <si>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</si>
  <si>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</si>
  <si>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</si>
  <si>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</si>
  <si>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</si>
  <si>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</si>
  <si>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</si>
  <si>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</si>
  <si>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</si>
  <si>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</si>
  <si>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</si>
  <si>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</si>
  <si>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</si>
  <si>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</si>
  <si>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</si>
  <si>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</si>
  <si>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</si>
  <si>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</si>
  <si>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</si>
  <si>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</si>
  <si>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</si>
  <si>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</si>
  <si>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</si>
  <si>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</si>
  <si>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</si>
  <si>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</si>
  <si>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</si>
  <si>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</si>
  <si>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</si>
  <si>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</si>
  <si>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</si>
  <si>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</si>
  <si>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</si>
  <si>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</si>
  <si>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</si>
  <si>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</si>
  <si>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</si>
  <si>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</si>
  <si>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</si>
  <si>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</si>
  <si>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</si>
  <si>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</si>
  <si>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</si>
  <si>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</si>
  <si>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</si>
  <si>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</si>
  <si>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</si>
  <si>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</si>
  <si>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</si>
  <si>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</si>
  <si>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</si>
  <si>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</si>
  <si>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</si>
  <si>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</si>
  <si>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</si>
  <si>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</si>
  <si>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</si>
  <si>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</si>
  <si>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</si>
  <si>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</si>
  <si>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</si>
  <si>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</si>
  <si>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</si>
  <si>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</si>
  <si>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</si>
  <si>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</si>
  <si>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</si>
  <si>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</si>
  <si>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</si>
  <si>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</si>
  <si>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</si>
  <si>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</si>
  <si>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</si>
  <si>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</si>
  <si>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</si>
  <si>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</si>
  <si>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</si>
  <si>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</si>
  <si>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</si>
  <si>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</si>
  <si>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</si>
  <si>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</si>
  <si>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</si>
  <si>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</si>
  <si>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</si>
  <si>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</si>
  <si>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</si>
  <si>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</si>
  <si>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</si>
  <si>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</si>
  <si>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</si>
  <si>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</si>
  <si>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</si>
  <si>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</si>
  <si>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</si>
  <si>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</si>
  <si>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</si>
  <si>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</si>
  <si>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</si>
  <si>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</si>
  <si>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</si>
  <si>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</si>
  <si>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</si>
  <si>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</si>
  <si>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</si>
  <si>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</si>
  <si>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</si>
  <si>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</si>
  <si>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</si>
  <si>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</si>
  <si>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</si>
  <si>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</si>
  <si>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</si>
  <si>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</si>
  <si>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</si>
  <si>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</si>
  <si>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</si>
  <si>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</si>
  <si>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</si>
  <si>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</si>
  <si>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</si>
  <si>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</si>
  <si>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</si>
  <si>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</si>
  <si>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</si>
  <si>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</si>
  <si>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</si>
  <si>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</si>
  <si>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</si>
  <si>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</si>
  <si>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</si>
  <si>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</si>
  <si>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</si>
  <si>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</si>
  <si>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</si>
  <si>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</si>
  <si>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</si>
  <si>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</si>
  <si>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</si>
  <si>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</si>
  <si>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</si>
  <si>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</si>
  <si>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</si>
  <si>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</si>
  <si>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</si>
  <si>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</si>
  <si>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</si>
  <si>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</si>
  <si>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</si>
  <si>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</si>
  <si>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</si>
  <si>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</si>
  <si>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</si>
  <si>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</si>
  <si>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</si>
  <si>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</si>
  <si>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</si>
  <si>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</si>
  <si>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</si>
  <si>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</si>
  <si>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</si>
  <si>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</si>
  <si>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</si>
  <si>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</si>
  <si>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</si>
  <si>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</si>
  <si>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</si>
  <si>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</si>
  <si>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</si>
  <si>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</si>
  <si>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</si>
  <si>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</si>
  <si>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</si>
  <si>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</si>
  <si>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</si>
  <si>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</si>
  <si>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</si>
  <si>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</si>
  <si>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</si>
  <si>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</si>
  <si>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</si>
  <si>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</si>
  <si>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</si>
  <si>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</si>
  <si>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</si>
  <si>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</si>
  <si>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</si>
  <si>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</si>
  <si>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</si>
  <si>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</si>
  <si>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</si>
  <si>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</si>
  <si>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</si>
  <si>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</si>
  <si>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</si>
  <si>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</si>
  <si>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</si>
  <si>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</si>
  <si>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</si>
  <si>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</si>
  <si>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</si>
  <si>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</si>
  <si>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</si>
  <si>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</si>
  <si>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</si>
  <si>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</si>
  <si>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</si>
  <si>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</si>
  <si>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</si>
  <si>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</si>
  <si>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</si>
  <si>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</si>
  <si>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</si>
  <si>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</si>
  <si>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</si>
  <si>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</si>
  <si>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</si>
  <si>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</si>
  <si>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</si>
  <si>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</si>
  <si>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</si>
  <si>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</si>
  <si>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</si>
  <si>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</si>
  <si>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</si>
  <si>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</si>
  <si>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</si>
  <si>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</si>
  <si>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</si>
  <si>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</si>
  <si>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</si>
  <si>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</si>
  <si>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</si>
  <si>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</si>
  <si>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</si>
  <si>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</si>
  <si>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</si>
  <si>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</si>
  <si>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</si>
  <si>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</si>
  <si>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</si>
  <si>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</si>
  <si>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</si>
  <si>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</si>
  <si>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</si>
  <si>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</si>
  <si>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</si>
  <si>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</si>
  <si>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</si>
  <si>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</si>
  <si>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</si>
  <si>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</si>
  <si>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</si>
  <si>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</si>
  <si>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</si>
  <si>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</si>
  <si>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</si>
  <si>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</si>
  <si>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</si>
  <si>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</si>
  <si>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</si>
  <si>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</si>
  <si>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</si>
  <si>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</si>
  <si>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</si>
  <si>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</si>
  <si>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</si>
  <si>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</si>
  <si>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</si>
  <si>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</si>
  <si>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</si>
  <si>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</si>
  <si>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</si>
  <si>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</si>
  <si>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</si>
  <si>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</si>
  <si>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</si>
  <si>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</si>
  <si>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</si>
  <si>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</si>
  <si>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</si>
  <si>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</si>
  <si>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</si>
  <si>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</si>
  <si>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</si>
  <si>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</si>
  <si>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</si>
  <si>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</si>
  <si>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</si>
  <si>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</si>
  <si>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</si>
  <si>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</si>
  <si>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</si>
  <si>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</si>
  <si>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</si>
  <si>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</si>
  <si>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</si>
  <si>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</si>
  <si>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</si>
  <si>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</si>
  <si>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</si>
  <si>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</si>
  <si>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</si>
  <si>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</si>
  <si>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</si>
  <si>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</si>
  <si>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</si>
  <si>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</si>
  <si>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</si>
  <si>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</si>
  <si>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</si>
  <si>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</si>
  <si>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</si>
  <si>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</si>
  <si>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</si>
  <si>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</si>
  <si>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</si>
  <si>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</si>
  <si>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</si>
  <si>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</si>
  <si>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</si>
  <si>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</si>
  <si>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</si>
  <si>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</si>
  <si>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</si>
  <si>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</si>
  <si>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</si>
  <si>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</si>
  <si>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</si>
  <si>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</si>
  <si>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</si>
  <si>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</si>
  <si>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</si>
  <si>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</si>
  <si>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</si>
  <si>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</si>
  <si>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</si>
  <si>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</si>
  <si>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</si>
  <si>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</si>
  <si>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</si>
  <si>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</si>
  <si>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</si>
  <si>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</si>
  <si>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</si>
  <si>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</si>
  <si>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</si>
  <si>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</si>
  <si>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</si>
  <si>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</si>
  <si>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</si>
  <si>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</si>
  <si>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</si>
  <si>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</si>
  <si>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</si>
  <si>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</si>
  <si>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</si>
  <si>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</si>
  <si>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</si>
  <si>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</si>
  <si>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</si>
  <si>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</si>
  <si>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</si>
  <si>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</si>
  <si>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</si>
  <si>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</si>
  <si>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</si>
  <si>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</si>
  <si>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</si>
  <si>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</si>
  <si>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</si>
  <si>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</si>
  <si>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</si>
  <si>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</si>
  <si>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</si>
  <si>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</si>
  <si>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</si>
  <si>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</si>
  <si>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</si>
  <si>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</si>
  <si>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</si>
  <si>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</si>
  <si>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</si>
  <si>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</si>
  <si>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</si>
  <si>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</si>
  <si>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</si>
  <si>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</si>
  <si>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</si>
  <si>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</si>
  <si>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</si>
  <si>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</si>
  <si>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</si>
  <si>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</si>
  <si>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</si>
  <si>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</si>
  <si>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</si>
  <si>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</si>
  <si>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</si>
  <si>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</si>
  <si>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</si>
  <si>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</si>
  <si>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</si>
  <si>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</si>
  <si>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</si>
  <si>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</si>
  <si>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</si>
  <si>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</si>
  <si>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</si>
  <si>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</si>
  <si>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</si>
  <si>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</si>
  <si>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</si>
  <si>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</si>
  <si>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</si>
  <si>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</si>
  <si>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</si>
  <si>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</si>
  <si>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</si>
  <si>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</si>
  <si>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</si>
  <si>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</si>
  <si>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</si>
  <si>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</si>
  <si>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</si>
  <si>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</si>
  <si>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</si>
  <si>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</si>
  <si>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</si>
  <si>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</si>
  <si>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</si>
  <si>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</si>
  <si>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</si>
  <si>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</si>
  <si>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</si>
  <si>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</si>
  <si>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</si>
  <si>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</si>
  <si>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</si>
  <si>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</si>
  <si>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</si>
  <si>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</si>
  <si>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</si>
  <si>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</si>
  <si>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</si>
  <si>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</si>
  <si>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</si>
  <si>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</si>
  <si>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</si>
  <si>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</si>
  <si>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</si>
  <si>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</si>
  <si>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</si>
  <si>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</si>
  <si>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</si>
  <si>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</si>
  <si>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</si>
  <si>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</si>
  <si>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</si>
  <si>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</si>
  <si>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</si>
  <si>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</si>
  <si>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</si>
  <si>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</si>
  <si>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</si>
  <si>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</si>
  <si>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</si>
  <si>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</si>
  <si>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</si>
  <si>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</si>
  <si>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</si>
  <si>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</si>
  <si>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</si>
  <si>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</si>
  <si>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</si>
  <si>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</si>
  <si>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</si>
  <si>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</si>
  <si>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</si>
  <si>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</si>
  <si>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</si>
  <si>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</si>
  <si>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</si>
  <si>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</si>
  <si>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</si>
  <si>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</si>
  <si>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</si>
  <si>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</si>
  <si>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</si>
  <si>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</si>
  <si>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</si>
  <si>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</si>
  <si>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</si>
  <si>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</si>
  <si>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</si>
  <si>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</si>
  <si>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</si>
  <si>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</si>
  <si>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</si>
  <si>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</si>
  <si>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</si>
  <si>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</si>
  <si>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</si>
  <si>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</si>
  <si>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</si>
  <si>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</si>
  <si>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</si>
  <si>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</si>
  <si>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</si>
  <si>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</si>
  <si>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</si>
  <si>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</si>
  <si>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</si>
  <si>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</si>
  <si>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</si>
  <si>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</si>
  <si>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</si>
  <si>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</si>
  <si>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</si>
  <si>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</si>
  <si>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</si>
  <si>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</si>
  <si>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</si>
  <si>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</si>
  <si>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</si>
  <si>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</si>
  <si>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</si>
  <si>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</si>
  <si>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</si>
  <si>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</si>
  <si>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</si>
  <si>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</si>
  <si>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</si>
  <si>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</si>
  <si>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</si>
  <si>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</si>
  <si>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</si>
  <si>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</si>
  <si>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</si>
  <si>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</si>
  <si>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</si>
  <si>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</si>
  <si>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</si>
  <si>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</si>
  <si>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</si>
  <si>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</si>
  <si>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</si>
  <si>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</si>
  <si>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</si>
  <si>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</si>
  <si>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</si>
  <si>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</si>
  <si>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</si>
  <si>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</si>
  <si>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</si>
  <si>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</si>
  <si>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</si>
  <si>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</si>
  <si>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</si>
  <si>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</si>
  <si>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</si>
  <si>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</si>
  <si>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</si>
  <si>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</si>
  <si>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</si>
  <si>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</si>
  <si>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</si>
  <si>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</si>
  <si>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</si>
  <si>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</si>
  <si>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</si>
  <si>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</si>
  <si>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</si>
  <si>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</si>
  <si>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</si>
  <si>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</si>
  <si>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</si>
  <si>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</si>
  <si>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</si>
  <si>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</si>
  <si>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</si>
  <si>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</si>
  <si>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</si>
  <si>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</si>
  <si>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</si>
  <si>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</si>
  <si>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</si>
  <si>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</si>
  <si>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</si>
  <si>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</si>
  <si>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</si>
  <si>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</si>
  <si>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</si>
  <si>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</si>
  <si>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</si>
  <si>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</si>
  <si>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</si>
  <si>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</si>
  <si>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</si>
  <si>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</si>
  <si>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</si>
  <si>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</si>
  <si>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</si>
  <si>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</si>
  <si>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</si>
  <si>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</si>
  <si>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</si>
  <si>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</si>
  <si>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</si>
  <si>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</si>
  <si>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</si>
  <si>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</si>
  <si>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</si>
  <si>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</si>
  <si>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</si>
  <si>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</si>
  <si>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</si>
  <si>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</si>
  <si>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</si>
  <si>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</si>
  <si>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</si>
  <si>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</si>
  <si>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</si>
  <si>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</si>
  <si>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</si>
  <si>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</si>
  <si>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</si>
  <si>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</si>
  <si>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</si>
  <si>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</si>
  <si>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</si>
  <si>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</si>
  <si>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</si>
  <si>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</si>
  <si>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</si>
  <si>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</si>
  <si>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</si>
  <si>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</si>
  <si>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</si>
  <si>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</si>
  <si>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</si>
  <si>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</si>
  <si>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</si>
  <si>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</si>
  <si>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</si>
  <si>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</si>
  <si>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</si>
  <si>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</si>
  <si>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</si>
  <si>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</si>
  <si>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</si>
  <si>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</si>
  <si>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</si>
  <si>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</si>
  <si>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</si>
  <si>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</si>
  <si>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</si>
  <si>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</si>
  <si>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</si>
  <si>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</si>
  <si>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</si>
  <si>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</si>
  <si>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</si>
  <si>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</si>
  <si>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</si>
  <si>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</si>
  <si>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</si>
  <si>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</si>
  <si>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</si>
  <si>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</si>
  <si>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</si>
  <si>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</si>
  <si>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</si>
  <si>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</si>
  <si>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</si>
  <si>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</si>
  <si>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</si>
  <si>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</si>
  <si>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</si>
  <si>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</si>
  <si>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</si>
  <si>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</si>
  <si>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</si>
  <si>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</si>
  <si>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</si>
  <si>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</si>
  <si>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</si>
  <si>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</si>
  <si>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</si>
  <si>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</si>
  <si>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</si>
  <si>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</si>
  <si>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</si>
  <si>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</si>
  <si>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</si>
  <si>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</si>
  <si>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</si>
  <si>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</si>
  <si>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</si>
  <si>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</si>
  <si>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</si>
  <si>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</si>
  <si>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</si>
  <si>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</si>
  <si>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</si>
  <si>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</si>
  <si>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</si>
  <si>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</si>
  <si>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</si>
  <si>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</si>
  <si>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</si>
  <si>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</si>
  <si>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</si>
  <si>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</si>
  <si>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</si>
  <si>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</si>
  <si>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</si>
  <si>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</si>
  <si>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</si>
  <si>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</si>
  <si>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</si>
  <si>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</si>
  <si>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</si>
  <si>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</si>
  <si>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</si>
  <si>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</si>
  <si>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</si>
  <si>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</si>
  <si>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</si>
  <si>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</si>
  <si>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</si>
  <si>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</si>
  <si>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</si>
  <si>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</si>
  <si>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</si>
  <si>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</si>
  <si>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</si>
  <si>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</si>
  <si>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</si>
  <si>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</si>
  <si>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</si>
  <si>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</si>
  <si>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</si>
  <si>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</si>
  <si>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</si>
  <si>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</si>
  <si>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</si>
  <si>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</si>
  <si>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</si>
  <si>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</si>
  <si>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</si>
  <si>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</si>
  <si>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</si>
  <si>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</si>
  <si>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</si>
  <si>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</si>
  <si>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</si>
  <si>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</si>
  <si>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</si>
  <si>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</si>
  <si>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</si>
  <si>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</si>
  <si>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</si>
  <si>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</si>
  <si>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</si>
  <si>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</si>
  <si>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</si>
  <si>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</si>
  <si>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</si>
  <si>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</si>
  <si>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</si>
  <si>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</si>
  <si>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</si>
  <si>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</si>
  <si>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</si>
  <si>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</si>
  <si>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</si>
  <si>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</si>
  <si>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</si>
  <si>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</si>
  <si>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</si>
  <si>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</si>
  <si>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</si>
  <si>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</si>
  <si>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</si>
  <si>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</si>
  <si>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</si>
  <si>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</si>
  <si>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</si>
  <si>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</si>
  <si>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</si>
  <si>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</si>
  <si>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</si>
  <si>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</si>
  <si>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</si>
  <si>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</si>
  <si>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</si>
  <si>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</si>
  <si>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</si>
  <si>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</si>
  <si>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</si>
  <si>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</si>
  <si>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</si>
  <si>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</si>
  <si>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</si>
  <si>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</si>
  <si>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</si>
  <si>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</si>
  <si>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</si>
  <si>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</si>
  <si>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</si>
  <si>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</si>
  <si>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</si>
  <si>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</si>
  <si>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</si>
  <si>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</si>
  <si>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</si>
  <si>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</si>
  <si>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</si>
  <si>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</si>
  <si>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</si>
  <si>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</si>
  <si>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</si>
  <si>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</si>
  <si>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</si>
  <si>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</si>
  <si>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</si>
  <si>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</si>
  <si>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</si>
  <si>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</si>
  <si>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</si>
  <si>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</si>
  <si>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</si>
  <si>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</si>
  <si>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</si>
  <si>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</si>
  <si>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</si>
  <si>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</si>
  <si>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</si>
  <si>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</si>
  <si>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</si>
  <si>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</si>
  <si>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</si>
  <si>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</si>
  <si>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</si>
  <si>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</si>
  <si>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</si>
  <si>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</si>
  <si>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</si>
  <si>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</si>
  <si>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</si>
  <si>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</si>
  <si>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</si>
  <si>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</si>
  <si>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</si>
  <si>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</si>
  <si>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</si>
  <si>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</si>
  <si>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</si>
  <si>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</si>
  <si>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</si>
  <si>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</si>
  <si>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</si>
  <si>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</si>
  <si>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</si>
  <si>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</si>
  <si>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</si>
  <si>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</si>
  <si>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</si>
  <si>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</si>
  <si>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</si>
  <si>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</si>
  <si>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</si>
  <si>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</si>
  <si>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</si>
  <si>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</si>
  <si>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</si>
  <si>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</si>
  <si>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</si>
  <si>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</si>
  <si>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</si>
  <si>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</si>
  <si>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</si>
  <si>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</si>
  <si>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</si>
  <si>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</si>
  <si>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</si>
  <si>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</si>
  <si>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</si>
  <si>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</si>
  <si>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</si>
  <si>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</si>
  <si>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</si>
  <si>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</si>
  <si>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</si>
  <si>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</si>
  <si>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</si>
  <si>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</si>
  <si>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</si>
  <si>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</si>
  <si>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</si>
  <si>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</si>
  <si>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</si>
  <si>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</si>
  <si>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</si>
  <si>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</si>
  <si>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</si>
  <si>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</si>
  <si>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</si>
  <si>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</si>
  <si>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</si>
  <si>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</si>
  <si>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</si>
  <si>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</si>
  <si>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</si>
  <si>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</si>
  <si>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</si>
  <si>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</si>
  <si>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</si>
  <si>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</si>
  <si>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</si>
  <si>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</si>
  <si>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</si>
  <si>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</si>
  <si>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</si>
  <si>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</si>
  <si>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</si>
  <si>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</si>
  <si>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</si>
  <si>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</si>
  <si>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</si>
  <si>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</si>
  <si>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</si>
  <si>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</si>
  <si>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</si>
  <si>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</si>
  <si>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</si>
  <si>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</si>
  <si>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</si>
  <si>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</si>
  <si>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</si>
  <si>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</si>
  <si>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</si>
  <si>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</si>
  <si>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</si>
  <si>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</si>
  <si>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</si>
  <si>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</si>
  <si>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</si>
  <si>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</si>
  <si>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</si>
  <si>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</si>
  <si>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</si>
  <si>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</si>
  <si>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</si>
  <si>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</si>
  <si>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</si>
  <si>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</si>
  <si>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</si>
  <si>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</si>
  <si>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</si>
  <si>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</si>
  <si>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</si>
  <si>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</si>
  <si>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</si>
  <si>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</si>
  <si>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</si>
  <si>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</si>
  <si>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</si>
  <si>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</si>
  <si>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</si>
  <si>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</si>
  <si>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</si>
  <si>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</si>
  <si>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</si>
  <si>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</si>
  <si>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</si>
  <si>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</si>
  <si>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</si>
  <si>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</si>
  <si>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</si>
  <si>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</si>
  <si>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</si>
  <si>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</si>
  <si>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</si>
  <si>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</si>
  <si>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</si>
  <si>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</si>
  <si>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</si>
  <si>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</si>
  <si>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</si>
  <si>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</si>
  <si>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</si>
  <si>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</si>
  <si>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</si>
  <si>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</si>
  <si>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</si>
  <si>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</si>
  <si>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</si>
  <si>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</si>
  <si>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</si>
  <si>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</si>
  <si>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</si>
  <si>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</si>
  <si>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</si>
  <si>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</si>
  <si>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</si>
  <si>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</si>
  <si>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</si>
  <si>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</si>
  <si>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</si>
  <si>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</si>
  <si>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</si>
  <si>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</si>
  <si>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</si>
  <si>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</si>
  <si>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</si>
  <si>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</si>
  <si>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</si>
  <si>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</si>
  <si>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</si>
  <si>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</si>
  <si>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</si>
  <si>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</si>
  <si>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</si>
  <si>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</si>
  <si>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</si>
  <si>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</si>
  <si>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</si>
  <si>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</si>
  <si>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</si>
  <si>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</si>
  <si>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</si>
  <si>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</si>
  <si>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</si>
  <si>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</si>
  <si>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</si>
  <si>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</si>
  <si>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</si>
  <si>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</si>
  <si>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</si>
  <si>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</si>
  <si>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</si>
  <si>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</si>
  <si>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</si>
  <si>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</si>
  <si>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</si>
  <si>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</si>
  <si>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</si>
  <si>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</si>
  <si>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</si>
  <si>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</si>
  <si>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</si>
  <si>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</si>
  <si>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</si>
  <si>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</si>
  <si>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</si>
  <si>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</si>
  <si>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</si>
  <si>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</si>
  <si>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</si>
  <si>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</si>
  <si>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</si>
  <si>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</si>
  <si>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</si>
  <si>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</si>
  <si>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</si>
  <si>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</si>
  <si>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</si>
  <si>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</si>
  <si>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</si>
  <si>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</si>
  <si>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</si>
  <si>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</si>
  <si>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</si>
  <si>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</si>
  <si>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</si>
  <si>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</si>
  <si>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</si>
  <si>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</si>
  <si>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</si>
  <si>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</si>
  <si>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</si>
  <si>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</si>
  <si>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</si>
  <si>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</si>
  <si>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</si>
  <si>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</si>
  <si>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</si>
  <si>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</si>
  <si>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</si>
  <si>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</si>
  <si>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</si>
  <si>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</si>
  <si>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</si>
  <si>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</si>
  <si>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</si>
  <si>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</si>
  <si>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</si>
  <si>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</si>
  <si>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</si>
  <si>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</si>
  <si>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</si>
  <si>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</si>
  <si>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</si>
  <si>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</si>
  <si>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</si>
  <si>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</si>
  <si>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</si>
  <si>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</si>
  <si>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</si>
  <si>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</si>
  <si>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</si>
  <si>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</si>
  <si>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</si>
  <si>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</si>
  <si>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</si>
  <si>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</si>
  <si>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</si>
  <si>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</si>
  <si>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</si>
  <si>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</si>
  <si>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</si>
  <si>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</si>
  <si>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</si>
  <si>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</si>
  <si>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</si>
  <si>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</si>
  <si>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</si>
  <si>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</si>
  <si>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</si>
  <si>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</si>
  <si>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</si>
  <si>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</si>
  <si>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</si>
  <si>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</si>
  <si>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</si>
  <si>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</si>
  <si>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</si>
  <si>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</si>
  <si>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</si>
  <si>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</si>
  <si>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</si>
  <si>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</si>
  <si>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</si>
  <si>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</si>
  <si>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</si>
  <si>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</si>
  <si>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</si>
  <si>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</si>
  <si>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</si>
  <si>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</si>
  <si>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</si>
  <si>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</si>
  <si>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</si>
  <si>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</si>
  <si>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</si>
  <si>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</si>
  <si>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</si>
  <si>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</si>
  <si>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</si>
  <si>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</si>
  <si>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</si>
  <si>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</si>
  <si>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</si>
  <si>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</si>
  <si>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</si>
  <si>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</si>
  <si>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</si>
  <si>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</si>
  <si>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</si>
  <si>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</si>
  <si>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</si>
  <si>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</si>
  <si>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</si>
  <si>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</si>
  <si>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</si>
  <si>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</si>
  <si>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</si>
  <si>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</si>
  <si>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</si>
  <si>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</si>
  <si>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</si>
  <si>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</si>
  <si>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</si>
  <si>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</si>
  <si>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</si>
  <si>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</si>
  <si>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</si>
  <si>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</si>
  <si>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</si>
  <si>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</si>
  <si>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</si>
  <si>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</si>
  <si>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</si>
  <si>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</si>
  <si>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</si>
  <si>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</si>
  <si>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</si>
  <si>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</si>
  <si>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</si>
  <si>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</si>
  <si>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</si>
  <si>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</si>
  <si>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</si>
  <si>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</si>
  <si>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</si>
  <si>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</si>
  <si>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</si>
  <si>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</si>
  <si>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</si>
  <si>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</si>
  <si>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</si>
  <si>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</si>
  <si>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</si>
  <si>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</si>
  <si>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</si>
  <si>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</si>
  <si>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</si>
  <si>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</si>
  <si>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</si>
  <si>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</si>
  <si>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</si>
  <si>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</si>
  <si>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</si>
  <si>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</si>
  <si>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</si>
  <si>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</si>
  <si>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</si>
  <si>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</si>
  <si>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</si>
  <si>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</si>
  <si>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</si>
  <si>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</si>
  <si>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</si>
  <si>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</si>
  <si>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</si>
  <si>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</si>
  <si>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</si>
  <si>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</si>
  <si>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</si>
  <si>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</si>
  <si>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</si>
  <si>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</si>
  <si>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</si>
  <si>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</si>
  <si>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</si>
  <si>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</si>
  <si>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</si>
  <si>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</si>
  <si>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</si>
  <si>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</si>
  <si>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</si>
  <si>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</si>
  <si>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</si>
  <si>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</si>
  <si>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</si>
  <si>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</si>
  <si>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</si>
  <si>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</si>
  <si>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</si>
  <si>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</si>
  <si>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</si>
  <si>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</si>
  <si>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</si>
  <si>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</si>
  <si>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</si>
  <si>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</si>
  <si>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</si>
  <si>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</si>
  <si>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</si>
  <si>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</si>
  <si>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</si>
  <si>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</si>
  <si>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</si>
  <si>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</si>
  <si>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</si>
  <si>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</si>
  <si>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</si>
  <si>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</si>
  <si>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</si>
  <si>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</si>
  <si>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</si>
  <si>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</si>
  <si>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</si>
  <si>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</si>
  <si>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</si>
  <si>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</si>
  <si>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</si>
  <si>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</si>
  <si>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</si>
  <si>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</si>
  <si>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</si>
  <si>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</si>
  <si>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</si>
  <si>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</si>
  <si>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</si>
  <si>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</si>
  <si>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</si>
  <si>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</si>
  <si>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</si>
  <si>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</si>
  <si>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</si>
  <si>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</si>
  <si>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</si>
  <si>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</si>
  <si>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</si>
  <si>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</si>
  <si>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</si>
  <si>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</si>
  <si>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</si>
  <si>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</si>
  <si>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</si>
  <si>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</si>
  <si>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</si>
  <si>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</si>
  <si>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</si>
  <si>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</si>
  <si>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</si>
  <si>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</si>
  <si>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</si>
  <si>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</si>
  <si>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</si>
  <si>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</si>
  <si>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</si>
  <si>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</si>
  <si>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</si>
  <si>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</si>
  <si>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</si>
  <si>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</si>
  <si>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</si>
  <si>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</si>
  <si>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</si>
  <si>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</si>
  <si>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</si>
  <si>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</si>
  <si>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</si>
  <si>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</si>
  <si>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</si>
  <si>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</si>
  <si>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</si>
  <si>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</si>
  <si>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</si>
  <si>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</si>
  <si>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</si>
  <si>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</si>
  <si>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</si>
  <si>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</si>
  <si>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</si>
  <si>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</si>
  <si>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</si>
  <si>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</si>
  <si>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</si>
  <si>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</si>
  <si>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</si>
  <si>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</si>
  <si>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</si>
  <si>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</si>
  <si>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</si>
  <si>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</si>
  <si>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</si>
  <si>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</si>
  <si>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</si>
  <si>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</si>
  <si>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</si>
  <si>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</si>
  <si>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</si>
  <si>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</si>
  <si>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</si>
  <si>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</si>
  <si>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</si>
  <si>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</si>
  <si>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</si>
  <si>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</si>
  <si>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</si>
  <si>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</si>
  <si>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</si>
  <si>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</si>
  <si>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</si>
  <si>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</si>
  <si>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</si>
  <si>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</si>
  <si>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</si>
  <si>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</si>
  <si>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</si>
  <si>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</si>
  <si>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</si>
  <si>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</si>
  <si>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</si>
  <si>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</si>
  <si>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</si>
  <si>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</si>
  <si>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</si>
  <si>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</si>
  <si>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</si>
  <si>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</si>
  <si>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</si>
  <si>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</si>
  <si>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</si>
  <si>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</si>
  <si>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</si>
  <si>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</si>
  <si>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</si>
  <si>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</si>
  <si>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</si>
  <si>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</si>
  <si>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</si>
  <si>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</si>
  <si>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</si>
  <si>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</si>
  <si>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</si>
  <si>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</si>
  <si>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</si>
  <si>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</si>
  <si>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</si>
  <si>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</si>
  <si>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</si>
  <si>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</si>
  <si>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</si>
  <si>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</si>
  <si>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</si>
  <si>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</si>
  <si>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</si>
  <si>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</si>
  <si>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</si>
  <si>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</si>
  <si>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</si>
  <si>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</si>
  <si>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</si>
  <si>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</si>
  <si>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</si>
  <si>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</si>
  <si>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</si>
  <si>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</si>
  <si>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</si>
  <si>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</si>
  <si>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</si>
  <si>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</si>
  <si>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</si>
  <si>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</si>
  <si>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</si>
  <si>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</si>
  <si>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</si>
  <si>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</si>
  <si>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</si>
  <si>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</si>
  <si>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</si>
  <si>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</si>
  <si>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</si>
  <si>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</si>
  <si>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</si>
  <si>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</si>
  <si>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</si>
  <si>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</si>
  <si>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</si>
  <si>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</si>
  <si>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</si>
  <si>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</si>
  <si>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</si>
  <si>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</si>
  <si>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</si>
  <si>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</si>
  <si>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</si>
  <si>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</si>
  <si>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</si>
  <si>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</si>
  <si>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</si>
  <si>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</si>
  <si>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</si>
  <si>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</si>
  <si>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</si>
  <si>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</si>
  <si>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</si>
  <si>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</si>
  <si>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</si>
  <si>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</si>
  <si>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</si>
  <si>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</si>
  <si>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</si>
  <si>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</si>
  <si>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</si>
  <si>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</si>
  <si>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</si>
  <si>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</si>
  <si>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</si>
  <si>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</si>
  <si>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</si>
  <si>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</si>
  <si>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</si>
  <si>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</si>
  <si>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</si>
  <si>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</si>
  <si>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</si>
  <si>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</si>
  <si>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</si>
  <si>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</si>
  <si>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</si>
  <si>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</si>
  <si>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</si>
  <si>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</si>
  <si>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</si>
  <si>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</si>
  <si>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</si>
  <si>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</si>
  <si>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</si>
  <si>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</si>
  <si>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</si>
  <si>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</si>
  <si>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</si>
  <si>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</si>
  <si>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</si>
  <si>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</si>
  <si>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</si>
  <si>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</si>
  <si>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</si>
  <si>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</si>
  <si>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</si>
  <si>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</si>
  <si>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</si>
  <si>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</si>
  <si>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</si>
  <si>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</si>
  <si>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</si>
  <si>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</si>
  <si>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</si>
  <si>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</si>
  <si>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</si>
  <si>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</si>
  <si>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</si>
  <si>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</si>
  <si>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</si>
  <si>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</si>
  <si>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</si>
  <si>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</si>
  <si>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</si>
  <si>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</si>
  <si>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</si>
  <si>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</si>
  <si>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</si>
  <si>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</si>
  <si>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</si>
  <si>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</si>
  <si>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</si>
  <si>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</si>
  <si>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</si>
  <si>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</si>
  <si>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</si>
  <si>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</si>
  <si>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</si>
  <si>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</si>
  <si>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</si>
  <si>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</si>
  <si>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</si>
  <si>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</si>
  <si>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</si>
  <si>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</si>
  <si>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</si>
  <si>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</si>
  <si>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</si>
  <si>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</si>
  <si>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</si>
  <si>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</si>
  <si>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</si>
  <si>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</si>
  <si>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</si>
  <si>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</si>
  <si>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</si>
  <si>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</si>
  <si>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</si>
  <si>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</si>
  <si>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</si>
  <si>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</si>
  <si>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</si>
  <si>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</si>
  <si>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</si>
  <si>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</si>
  <si>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</si>
  <si>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</si>
  <si>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</si>
  <si>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</si>
  <si>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</si>
  <si>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</si>
  <si>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</si>
  <si>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</si>
  <si>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</si>
  <si>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</si>
  <si>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</si>
  <si>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</si>
  <si>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</si>
  <si>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</si>
  <si>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</si>
  <si>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</si>
  <si>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</si>
  <si>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</si>
  <si>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</si>
  <si>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</si>
  <si>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</si>
  <si>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</si>
  <si>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</si>
  <si>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</si>
  <si>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</si>
  <si>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</si>
  <si>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</si>
  <si>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</si>
  <si>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</si>
  <si>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</si>
  <si>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</si>
  <si>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</si>
  <si>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</si>
  <si>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</si>
  <si>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</si>
  <si>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</si>
  <si>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</si>
  <si>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</si>
  <si>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</si>
  <si>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</si>
  <si>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</si>
  <si>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</si>
  <si>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</si>
  <si>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</si>
  <si>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</si>
  <si>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</si>
  <si>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</si>
  <si>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</si>
  <si>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</si>
  <si>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</si>
  <si>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</si>
  <si>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</si>
  <si>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</si>
  <si>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</si>
  <si>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</si>
  <si>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</si>
  <si>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</si>
  <si>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</si>
  <si>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</si>
  <si>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</si>
  <si>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</si>
  <si>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</si>
  <si>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</si>
  <si>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</si>
  <si>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</si>
  <si>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</si>
  <si>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</si>
  <si>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</si>
  <si>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</si>
  <si>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</si>
  <si>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</si>
  <si>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</si>
  <si>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</si>
  <si>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</si>
  <si>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</si>
  <si>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</si>
  <si>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</si>
  <si>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</si>
  <si>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</si>
  <si>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</si>
  <si>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</si>
  <si>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</si>
  <si>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</si>
  <si>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</si>
  <si>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</si>
  <si>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</si>
  <si>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</si>
  <si>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</si>
  <si>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</si>
  <si>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</si>
  <si>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</si>
  <si>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</si>
  <si>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</si>
  <si>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</si>
  <si>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</si>
  <si>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</si>
  <si>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</si>
  <si>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</si>
  <si>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</si>
  <si>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</si>
  <si>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</si>
  <si>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</si>
  <si>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</si>
  <si>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</si>
  <si>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</si>
  <si>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</si>
  <si>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</si>
  <si>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</si>
  <si>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</si>
  <si>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</si>
  <si>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</si>
  <si>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</si>
  <si>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</si>
  <si>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</si>
  <si>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</si>
  <si>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</si>
  <si>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</si>
  <si>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</si>
  <si>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</si>
  <si>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</si>
  <si>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</si>
  <si>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</si>
  <si>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</si>
  <si>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</si>
  <si>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</si>
  <si>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</si>
  <si>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</si>
  <si>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</si>
  <si>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</si>
  <si>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</si>
  <si>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</si>
  <si>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</si>
  <si>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</si>
  <si>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</si>
  <si>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</si>
  <si>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</si>
  <si>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</si>
  <si>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</si>
  <si>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</si>
  <si>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</si>
  <si>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</si>
  <si>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</si>
  <si>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</si>
  <si>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</si>
  <si>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</si>
  <si>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</si>
  <si>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</si>
  <si>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</si>
  <si>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</si>
  <si>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</si>
  <si>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</si>
  <si>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</si>
  <si>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</si>
  <si>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</si>
  <si>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</si>
  <si>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</si>
  <si>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</si>
  <si>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</si>
  <si>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</si>
  <si>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</si>
  <si>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</si>
  <si>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</si>
  <si>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</si>
  <si>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</si>
  <si>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</si>
  <si>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</si>
  <si>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</si>
  <si>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</si>
  <si>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</si>
  <si>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</si>
  <si>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</si>
  <si>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</si>
  <si>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</si>
  <si>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</si>
  <si>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</si>
  <si>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</si>
  <si>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</si>
  <si>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</si>
  <si>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</si>
  <si>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</si>
  <si>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</si>
  <si>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</si>
  <si>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</si>
  <si>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</si>
  <si>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</si>
  <si>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</si>
  <si>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</si>
  <si>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</si>
  <si>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</si>
  <si>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</si>
  <si>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</si>
  <si>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</si>
  <si>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</si>
  <si>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</si>
  <si>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</si>
  <si>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</si>
  <si>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</si>
  <si>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</si>
  <si>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</si>
  <si>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</si>
  <si>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</si>
  <si>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</si>
  <si>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</si>
  <si>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</si>
  <si>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</si>
  <si>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</si>
  <si>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</si>
  <si>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</si>
  <si>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</si>
  <si>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</si>
  <si>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</si>
  <si>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</si>
  <si>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</si>
  <si>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</si>
  <si>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</si>
  <si>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</si>
  <si>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</si>
  <si>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</si>
  <si>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</si>
  <si>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</si>
  <si>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</si>
  <si>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</si>
  <si>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</si>
  <si>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</si>
  <si>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</si>
  <si>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</si>
  <si>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</si>
  <si>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</si>
  <si>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</si>
  <si>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</si>
  <si>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</si>
  <si>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</si>
  <si>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</si>
  <si>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</si>
  <si>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</si>
  <si>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</si>
  <si>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</si>
  <si>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</si>
  <si>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</si>
  <si>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</si>
  <si>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</si>
  <si>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</si>
  <si>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</si>
  <si>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</si>
  <si>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</si>
  <si>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</si>
  <si>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</si>
  <si>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</si>
  <si>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</si>
  <si>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</si>
  <si>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</si>
  <si>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</si>
  <si>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</si>
  <si>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</si>
  <si>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</si>
  <si>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</si>
  <si>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</si>
  <si>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</si>
  <si>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</si>
  <si>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</si>
  <si>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</si>
  <si>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</si>
  <si>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</si>
  <si>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</si>
  <si>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</si>
  <si>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</si>
  <si>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</si>
  <si>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</si>
  <si>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</si>
  <si>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</si>
  <si>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</si>
  <si>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</si>
  <si>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</si>
  <si>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</si>
  <si>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</si>
  <si>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</si>
  <si>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</si>
  <si>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</si>
  <si>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</si>
  <si>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</si>
  <si>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</si>
  <si>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</si>
  <si>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</si>
  <si>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</si>
  <si>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</si>
  <si>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</si>
  <si>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</si>
  <si>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</si>
  <si>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</si>
  <si>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</si>
  <si>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</si>
  <si>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</si>
  <si>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</si>
  <si>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</si>
  <si>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</si>
  <si>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</si>
  <si>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</si>
  <si>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</si>
  <si>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</si>
  <si>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</si>
  <si>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</si>
  <si>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</si>
  <si>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</si>
  <si>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</si>
  <si>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</si>
  <si>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</si>
  <si>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</si>
  <si>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</si>
  <si>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</si>
  <si>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</si>
  <si>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</si>
  <si>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</si>
  <si>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</si>
  <si>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</si>
  <si>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</si>
  <si>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</si>
  <si>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</si>
  <si>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</si>
  <si>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</si>
  <si>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</si>
  <si>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</si>
  <si>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</si>
  <si>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</si>
  <si>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</si>
  <si>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</si>
  <si>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</si>
  <si>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</si>
  <si>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</si>
  <si>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</si>
  <si>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</si>
  <si>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</si>
  <si>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</si>
  <si>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</si>
  <si>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</si>
  <si>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</si>
  <si>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</si>
  <si>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</si>
  <si>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</si>
  <si>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</si>
  <si>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</si>
  <si>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</si>
  <si>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</si>
  <si>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</si>
  <si>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</si>
  <si>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</si>
  <si>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</si>
  <si>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</si>
  <si>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</si>
  <si>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</si>
  <si>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</si>
  <si>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</si>
  <si>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</si>
  <si>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</si>
  <si>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</si>
  <si>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</si>
  <si>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</si>
  <si>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</si>
  <si>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</si>
  <si>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</si>
  <si>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</si>
  <si>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</si>
  <si>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</si>
  <si>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</si>
  <si>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</si>
  <si>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</si>
  <si>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</si>
  <si>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</si>
  <si>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</si>
  <si>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</si>
  <si>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</si>
  <si>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</si>
  <si>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</si>
  <si>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</si>
  <si>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</si>
  <si>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</si>
  <si>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</si>
  <si>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</si>
  <si>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</si>
  <si>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</si>
  <si>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</si>
  <si>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</si>
  <si>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</si>
  <si>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</si>
  <si>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</si>
  <si>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</si>
  <si>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</si>
  <si>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</si>
  <si>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</si>
  <si>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</si>
  <si>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</si>
  <si>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</si>
  <si>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</si>
  <si>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</si>
  <si>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</si>
  <si>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</si>
  <si>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</si>
  <si>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</si>
  <si>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</si>
  <si>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</si>
  <si>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</si>
  <si>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</si>
  <si>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</si>
  <si>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</si>
  <si>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</si>
  <si>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</si>
  <si>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</si>
  <si>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</si>
  <si>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</si>
  <si>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</si>
  <si>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</si>
  <si>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</si>
  <si>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</si>
  <si>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</si>
  <si>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</si>
  <si>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</si>
  <si>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</si>
  <si>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</si>
  <si>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</si>
  <si>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</si>
  <si>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</si>
  <si>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</si>
  <si>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</si>
  <si>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</si>
  <si>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</si>
  <si>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</si>
  <si>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</si>
  <si>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</si>
  <si>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</si>
  <si>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</si>
  <si>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</si>
  <si>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</si>
  <si>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</si>
  <si>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</si>
  <si>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</si>
  <si>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</si>
  <si>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</si>
  <si>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</si>
  <si>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</si>
  <si>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</si>
  <si>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</si>
  <si>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</si>
  <si>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</si>
  <si>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</si>
  <si>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</si>
  <si>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</si>
  <si>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</si>
  <si>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</si>
  <si>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</si>
  <si>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</si>
  <si>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</si>
  <si>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</si>
  <si>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</si>
  <si>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</si>
  <si>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</si>
  <si>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</si>
  <si>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</si>
  <si>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</si>
  <si>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</si>
  <si>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</si>
  <si>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</si>
  <si>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</si>
  <si>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</si>
  <si>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</si>
  <si>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</si>
  <si>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</si>
  <si>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</si>
  <si>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</si>
  <si>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</si>
  <si>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</si>
  <si>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</si>
  <si>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</si>
  <si>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</si>
  <si>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</si>
  <si>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</si>
  <si>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</si>
  <si>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</si>
  <si>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</si>
  <si>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</si>
  <si>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</si>
  <si>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</si>
  <si>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</si>
  <si>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</si>
  <si>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</si>
  <si>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</si>
  <si>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</si>
  <si>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</si>
  <si>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</si>
  <si>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</si>
  <si>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</si>
  <si>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</si>
  <si>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</si>
  <si>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</si>
  <si>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</si>
  <si>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</si>
  <si>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</si>
  <si>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</si>
  <si>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</si>
  <si>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</si>
  <si>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</si>
  <si>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</si>
  <si>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</si>
  <si>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</si>
  <si>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</si>
  <si>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</si>
  <si>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</si>
  <si>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</si>
  <si>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</si>
  <si>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</si>
  <si>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</si>
  <si>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</si>
  <si>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</si>
  <si>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</si>
  <si>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</si>
  <si>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</si>
  <si>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</si>
  <si>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</si>
  <si>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</si>
  <si>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</si>
  <si>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</si>
  <si>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</si>
  <si>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</si>
  <si>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</si>
  <si>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</si>
  <si>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</si>
  <si>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</si>
  <si>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</si>
  <si>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</si>
  <si>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</si>
  <si>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</si>
  <si>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</si>
  <si>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</si>
  <si>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</si>
  <si>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</si>
  <si>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</si>
  <si>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</si>
  <si>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</si>
  <si>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</si>
  <si>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</si>
  <si>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</si>
  <si>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</si>
  <si>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</si>
  <si>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</si>
  <si>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</si>
  <si>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</si>
  <si>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</si>
  <si>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</si>
  <si>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</si>
  <si>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</si>
  <si>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</si>
  <si>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</si>
  <si>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</si>
  <si>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</si>
  <si>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</si>
  <si>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</si>
  <si>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</si>
  <si>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</si>
  <si>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</si>
  <si>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</si>
  <si>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</si>
  <si>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</si>
  <si>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</si>
  <si>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</si>
  <si>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</si>
  <si>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</si>
  <si>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</si>
  <si>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</si>
  <si>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</si>
  <si>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</si>
  <si>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</si>
  <si>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</si>
  <si>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</si>
  <si>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</si>
  <si>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</si>
  <si>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</si>
  <si>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</si>
  <si>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</si>
  <si>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</si>
  <si>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</si>
  <si>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</si>
  <si>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</si>
  <si>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</si>
  <si>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</si>
  <si>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</si>
  <si>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</si>
  <si>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</si>
  <si>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</si>
  <si>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</si>
  <si>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</si>
  <si>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</si>
  <si>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</si>
  <si>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</si>
  <si>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</si>
  <si>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</si>
  <si>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</si>
  <si>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</si>
  <si>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</si>
  <si>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</si>
  <si>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</si>
  <si>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</si>
  <si>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</si>
  <si>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</si>
  <si>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</si>
  <si>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</si>
  <si>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</si>
  <si>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</si>
  <si>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</si>
  <si>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</si>
  <si>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</si>
  <si>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</si>
  <si>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</si>
  <si>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</si>
  <si>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</si>
  <si>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</si>
  <si>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</si>
  <si>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</si>
  <si>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</si>
  <si>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</si>
  <si>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</si>
  <si>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</si>
  <si>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</si>
  <si>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</si>
  <si>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</si>
  <si>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</si>
  <si>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</si>
  <si>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</si>
  <si>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</si>
  <si>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</si>
  <si>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</si>
  <si>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</si>
  <si>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</si>
  <si>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</si>
  <si>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</si>
  <si>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</si>
  <si>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</si>
  <si>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</si>
  <si>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</si>
  <si>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</si>
  <si>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</si>
  <si>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</si>
  <si>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</si>
  <si>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</si>
  <si>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</si>
  <si>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</si>
  <si>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</si>
  <si>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</si>
  <si>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</si>
  <si>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</si>
  <si>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</si>
  <si>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</si>
  <si>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</si>
  <si>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</si>
  <si>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</si>
  <si>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</si>
  <si>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</si>
  <si>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</si>
  <si>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</si>
  <si>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</si>
  <si>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</si>
  <si>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</si>
  <si>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</si>
  <si>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</si>
  <si>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</si>
  <si>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</si>
  <si>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</si>
  <si>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</si>
  <si>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</si>
  <si>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</si>
  <si>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</si>
  <si>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</si>
  <si>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</si>
  <si>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</si>
  <si>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</si>
  <si>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</si>
  <si>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</si>
  <si>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</si>
  <si>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</si>
  <si>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</si>
  <si>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</si>
  <si>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</si>
  <si>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</si>
  <si>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</si>
  <si>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</si>
  <si>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</si>
  <si>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</si>
  <si>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</si>
  <si>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</si>
  <si>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</si>
  <si>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</si>
  <si>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</si>
  <si>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</si>
  <si>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</si>
  <si>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</si>
  <si>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</si>
  <si>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</si>
  <si>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</si>
  <si>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</si>
  <si>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</si>
  <si>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</si>
  <si>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</si>
  <si>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</si>
  <si>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</si>
  <si>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</si>
  <si>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</si>
  <si>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</si>
  <si>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</si>
  <si>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</si>
  <si>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</si>
  <si>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</si>
  <si>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</si>
  <si>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</si>
  <si>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</si>
  <si>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</si>
  <si>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</si>
  <si>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</si>
  <si>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</si>
  <si>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</si>
  <si>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</si>
  <si>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</si>
  <si>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</si>
  <si>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</si>
  <si>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</si>
  <si>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</si>
  <si>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</si>
  <si>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</si>
  <si>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</si>
  <si>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</si>
  <si>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</si>
  <si>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</si>
  <si>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</si>
  <si>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</si>
  <si>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</si>
  <si>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</si>
  <si>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</si>
  <si>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</si>
  <si>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</si>
  <si>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</si>
  <si>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</si>
  <si>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</si>
  <si>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</si>
  <si>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</si>
  <si>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</si>
  <si>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</si>
  <si>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</si>
  <si>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</si>
  <si>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</si>
  <si>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</si>
  <si>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</si>
  <si>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</si>
  <si>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</si>
  <si>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</si>
  <si>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</si>
  <si>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</si>
  <si>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</si>
  <si>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</si>
  <si>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</si>
  <si>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</si>
  <si>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</si>
  <si>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</si>
  <si>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</si>
  <si>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</si>
  <si>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</si>
  <si>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</si>
  <si>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</si>
  <si>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</si>
  <si>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</si>
  <si>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</si>
  <si>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</si>
  <si>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</si>
  <si>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</si>
  <si>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</si>
  <si>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</si>
  <si>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</si>
  <si>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</si>
  <si>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</si>
  <si>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</si>
  <si>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</si>
  <si>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</si>
  <si>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</si>
  <si>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</si>
  <si>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</si>
  <si>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</si>
  <si>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</si>
  <si>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</si>
  <si>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</si>
  <si>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</si>
  <si>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</si>
  <si>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</si>
  <si>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</si>
  <si>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</si>
  <si>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</si>
  <si>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</si>
  <si>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</si>
  <si>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</si>
  <si>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</si>
  <si>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</si>
  <si>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</si>
  <si>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</si>
  <si>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</si>
  <si>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</si>
  <si>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</si>
  <si>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</si>
  <si>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</si>
  <si>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</si>
  <si>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</si>
  <si>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</si>
  <si>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</si>
  <si>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</si>
  <si>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</si>
  <si>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</si>
  <si>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</si>
  <si>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</si>
  <si>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</si>
  <si>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</si>
  <si>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</si>
  <si>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</si>
  <si>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</si>
  <si>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</si>
  <si>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</si>
  <si>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</si>
  <si>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</si>
  <si>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</si>
  <si>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</si>
  <si>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</si>
  <si>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</si>
  <si>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</si>
  <si>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</si>
  <si>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</si>
  <si>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</si>
  <si>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</si>
  <si>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</si>
  <si>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</si>
  <si>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</si>
  <si>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</si>
  <si>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</si>
  <si>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</si>
  <si>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</si>
  <si>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</si>
  <si>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</si>
  <si>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</si>
  <si>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</si>
  <si>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</si>
  <si>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</si>
  <si>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</si>
  <si>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</si>
  <si>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</si>
  <si>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</si>
  <si>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</si>
  <si>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</si>
  <si>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</si>
  <si>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</si>
  <si>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</si>
  <si>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</si>
  <si>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</si>
  <si>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</si>
  <si>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</si>
  <si>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</si>
  <si>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</si>
  <si>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</si>
  <si>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</si>
  <si>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</si>
  <si>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</si>
  <si>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</si>
  <si>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</si>
  <si>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</si>
  <si>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</si>
  <si>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</si>
  <si>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</si>
  <si>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</si>
  <si>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</si>
  <si>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</si>
  <si>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</si>
  <si>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</si>
  <si>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</si>
  <si>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</si>
  <si>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</si>
  <si>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</si>
  <si>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</si>
  <si>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</si>
  <si>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Cd. Manuel Doblado, Gto.</t>
  </si>
  <si>
    <t>Al 31 de diciembre de 2019 y al 30 de marzo de 2020 (b)</t>
  </si>
  <si>
    <t>Del 1 de enero al 30 de marzo de 2020 (b)</t>
  </si>
  <si>
    <t>A. Central</t>
  </si>
  <si>
    <t>B. Preverp</t>
  </si>
  <si>
    <t>C. Rehabilitacion</t>
  </si>
  <si>
    <t>D. Mi hogar con valores</t>
  </si>
  <si>
    <t>E. Legal</t>
  </si>
  <si>
    <t>F. Alimentario</t>
  </si>
  <si>
    <t>G. Centro Geronotologico</t>
  </si>
  <si>
    <t>H. CADI</t>
  </si>
  <si>
    <t>I. CAIC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</si>
</sst>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xWindow="547" yWindow="360"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D49" sqref="D49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30 de marzo de 2020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7701000</v>
      </c>
      <c r="C8" s="40">
        <f>SUM(C9:C11)</f>
        <v>4977409.58</v>
      </c>
      <c r="D8" s="40">
        <f>SUM(D9:D11)</f>
        <v>4977409.58</v>
      </c>
    </row>
    <row r="9" spans="1:11" x14ac:dyDescent="0.25">
      <c r="A9" s="53" t="s">
        <v>169</v>
      </c>
      <c r="B9" s="23">
        <v>7701000</v>
      </c>
      <c r="C9" s="23">
        <v>4977409.58</v>
      </c>
      <c r="D9" s="23">
        <v>4977409.58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0"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7701000</v>
      </c>
      <c r="C13" s="40">
        <f t="shared" ref="C13:D13" si="1">C14+C15</f>
        <v>4198682.03</v>
      </c>
      <c r="D13" s="40">
        <f t="shared" si="1"/>
        <v>4198682.03</v>
      </c>
    </row>
    <row r="14" spans="1:11" x14ac:dyDescent="0.25">
      <c r="A14" s="53" t="s">
        <v>172</v>
      </c>
      <c r="B14" s="23">
        <v>7701000</v>
      </c>
      <c r="C14" s="23">
        <v>4198682.03</v>
      </c>
      <c r="D14" s="23">
        <v>4198682.03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778727.54999999981</v>
      </c>
      <c r="D21" s="40">
        <f>D8-D13+D17</f>
        <v>778727.54999999981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3">C21-C11</f>
        <v>778727.54999999981</v>
      </c>
      <c r="D23" s="40">
        <f t="shared" si="3"/>
        <v>778727.54999999981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4">C23-C17</f>
        <v>778727.54999999981</v>
      </c>
      <c r="D25" s="40">
        <f>D23-D17</f>
        <v>778727.54999999981</v>
      </c>
    </row>
    <row r="26" spans="1:4" ht="14.25" x14ac:dyDescent="0.45">
      <c r="A26" s="121"/>
      <c r="B26" s="13"/>
      <c r="C26" s="13"/>
      <c r="D26" s="13"/>
    </row>
    <row r="27" spans="1:4" ht="14.25" x14ac:dyDescent="0.45">
      <c r="A27" s="90"/>
    </row>
    <row r="28" spans="1:4" ht="30" customHeight="1" x14ac:dyDescent="0.4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ht="14.25" x14ac:dyDescent="0.45">
      <c r="A29" s="55" t="s">
        <v>186</v>
      </c>
      <c r="B29" s="61">
        <f>B30+B31</f>
        <v>0</v>
      </c>
      <c r="C29" s="61">
        <f t="shared" ref="C29:D29" si="5">C30+C31</f>
        <v>0</v>
      </c>
      <c r="D29" s="61">
        <f t="shared" si="5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6">C25+C29</f>
        <v>778727.54999999981</v>
      </c>
      <c r="D33" s="61">
        <f t="shared" si="6"/>
        <v>778727.54999999981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7">C38+C39</f>
        <v>0</v>
      </c>
      <c r="D37" s="61">
        <f t="shared" si="7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8">C41+C42</f>
        <v>0</v>
      </c>
      <c r="D40" s="61">
        <f t="shared" si="8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9">C37-C40</f>
        <v>0</v>
      </c>
      <c r="D44" s="61">
        <f t="shared" si="9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7701000</v>
      </c>
      <c r="C48" s="124">
        <v>4977409.58</v>
      </c>
      <c r="D48" s="124">
        <v>4977409.58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0">C50-C51</f>
        <v>0</v>
      </c>
      <c r="D49" s="61">
        <f t="shared" si="10"/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v>0</v>
      </c>
      <c r="C53" s="60">
        <v>0</v>
      </c>
      <c r="D53" s="60">
        <v>0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1">C18</f>
        <v>0</v>
      </c>
      <c r="D55" s="60">
        <f t="shared" si="11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7701000</v>
      </c>
      <c r="C57" s="61">
        <f>C48+C49-C53+C55</f>
        <v>4977409.58</v>
      </c>
      <c r="D57" s="61">
        <f t="shared" ref="D57" si="12">D48+D49-D53+D55</f>
        <v>4977409.58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7701000</v>
      </c>
      <c r="C59" s="61">
        <f t="shared" ref="C59:D59" si="13">C57-C49</f>
        <v>4977409.58</v>
      </c>
      <c r="D59" s="61">
        <f t="shared" si="13"/>
        <v>4977409.58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4">C10</f>
        <v>0</v>
      </c>
      <c r="D63" s="122">
        <f t="shared" si="14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5">C65-C66</f>
        <v>0</v>
      </c>
      <c r="D64" s="40">
        <f t="shared" si="15"/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v>0</v>
      </c>
      <c r="C68" s="23">
        <v>0</v>
      </c>
      <c r="D68" s="2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16">C19</f>
        <v>0</v>
      </c>
      <c r="D70" s="23">
        <f t="shared" si="16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17">C63+C64-C68+C70</f>
        <v>0</v>
      </c>
      <c r="D72" s="40">
        <f t="shared" si="17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18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7701000</v>
      </c>
      <c r="Q2" s="18">
        <f>'Formato 4'!C8</f>
        <v>4977409.58</v>
      </c>
      <c r="R2" s="18">
        <f>'Formato 4'!D8</f>
        <v>4977409.58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7701000</v>
      </c>
      <c r="Q3" s="18">
        <f>'Formato 4'!C9</f>
        <v>4977409.58</v>
      </c>
      <c r="R3" s="18">
        <f>'Formato 4'!D9</f>
        <v>4977409.58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7701000</v>
      </c>
      <c r="Q6" s="18">
        <f>'Formato 4'!C13</f>
        <v>4198682.03</v>
      </c>
      <c r="R6" s="18">
        <f>'Formato 4'!D13</f>
        <v>4198682.03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7701000</v>
      </c>
      <c r="Q7" s="18">
        <f>'Formato 4'!C14</f>
        <v>4198682.03</v>
      </c>
      <c r="R7" s="18">
        <f>'Formato 4'!D14</f>
        <v>4198682.03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778727.54999999981</v>
      </c>
      <c r="R12" s="18">
        <f>'Formato 4'!D21</f>
        <v>778727.54999999981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778727.54999999981</v>
      </c>
      <c r="R13" s="18">
        <f>'Formato 4'!D23</f>
        <v>778727.54999999981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778727.54999999981</v>
      </c>
      <c r="R14" s="18">
        <f>'Formato 4'!D25</f>
        <v>778727.54999999981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778727.54999999981</v>
      </c>
      <c r="R18">
        <f>'Formato 4'!D33</f>
        <v>778727.54999999981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7701000</v>
      </c>
      <c r="Q26">
        <f>'Formato 4'!C48</f>
        <v>4977409.58</v>
      </c>
      <c r="R26">
        <f>'Formato 4'!D48</f>
        <v>4977409.58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0</v>
      </c>
      <c r="Q30">
        <f>'Formato 4'!C53</f>
        <v>0</v>
      </c>
      <c r="R30">
        <f>'Formato 4'!D53</f>
        <v>0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0" zoomScale="85" zoomScaleNormal="85" workbookViewId="0">
      <selection activeCell="F69" sqref="F69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30 de marzo de 2020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ht="14.25" x14ac:dyDescent="0.45">
      <c r="A12" s="53" t="s">
        <v>219</v>
      </c>
      <c r="B12" s="60">
        <v>250000</v>
      </c>
      <c r="C12" s="60">
        <v>0</v>
      </c>
      <c r="D12" s="60">
        <v>250000</v>
      </c>
      <c r="E12" s="60">
        <v>119430</v>
      </c>
      <c r="F12" s="60">
        <v>119430</v>
      </c>
      <c r="G12" s="60">
        <f t="shared" si="0"/>
        <v>-130570</v>
      </c>
    </row>
    <row r="13" spans="1:8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ht="14.25" x14ac:dyDescent="0.45">
      <c r="A15" s="53" t="s">
        <v>222</v>
      </c>
      <c r="B15" s="60">
        <v>260000</v>
      </c>
      <c r="C15" s="60">
        <v>0</v>
      </c>
      <c r="D15" s="60">
        <v>260000</v>
      </c>
      <c r="E15" s="60">
        <v>64650</v>
      </c>
      <c r="F15" s="60">
        <v>64650</v>
      </c>
      <c r="G15" s="60">
        <f t="shared" si="0"/>
        <v>-195350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ht="14.25" x14ac:dyDescent="0.4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ht="14.25" x14ac:dyDescent="0.4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4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x14ac:dyDescent="0.45">
      <c r="A34" s="53" t="s">
        <v>240</v>
      </c>
      <c r="B34" s="60">
        <v>7100000</v>
      </c>
      <c r="C34" s="60">
        <v>0</v>
      </c>
      <c r="D34" s="60">
        <v>7100000</v>
      </c>
      <c r="E34" s="60">
        <v>4606000</v>
      </c>
      <c r="F34" s="60">
        <v>4606000</v>
      </c>
      <c r="G34" s="60">
        <f t="shared" si="4"/>
        <v>-2494000</v>
      </c>
    </row>
    <row r="35" spans="1:8" ht="14.25" x14ac:dyDescent="0.45">
      <c r="A35" s="53" t="s">
        <v>241</v>
      </c>
      <c r="B35" s="60">
        <f>B36</f>
        <v>90000</v>
      </c>
      <c r="C35" s="60">
        <f t="shared" ref="C35:F35" si="5">C36</f>
        <v>0</v>
      </c>
      <c r="D35" s="60">
        <f t="shared" si="5"/>
        <v>90000</v>
      </c>
      <c r="E35" s="60">
        <f t="shared" si="5"/>
        <v>186497</v>
      </c>
      <c r="F35" s="60">
        <f t="shared" si="5"/>
        <v>186497</v>
      </c>
      <c r="G35" s="60">
        <f>G36</f>
        <v>96497</v>
      </c>
    </row>
    <row r="36" spans="1:8" ht="14.25" x14ac:dyDescent="0.45">
      <c r="A36" s="63" t="s">
        <v>242</v>
      </c>
      <c r="B36" s="60">
        <v>90000</v>
      </c>
      <c r="C36" s="60">
        <v>0</v>
      </c>
      <c r="D36" s="60">
        <v>90000</v>
      </c>
      <c r="E36" s="60">
        <v>186497</v>
      </c>
      <c r="F36" s="60">
        <v>186497</v>
      </c>
      <c r="G36" s="60">
        <f>F36-B36</f>
        <v>96497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6">C38+C39</f>
        <v>0</v>
      </c>
      <c r="D37" s="60">
        <f t="shared" si="6"/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ht="14.25" x14ac:dyDescent="0.4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7700000</v>
      </c>
      <c r="C41" s="61">
        <f t="shared" ref="C41:E41" si="7">SUM(C9,C10,C11,C12,C13,C14,C15,C16,C28,C34,C35,C37)</f>
        <v>0</v>
      </c>
      <c r="D41" s="61">
        <f t="shared" si="7"/>
        <v>7700000</v>
      </c>
      <c r="E41" s="61">
        <f t="shared" si="7"/>
        <v>4976577</v>
      </c>
      <c r="F41" s="61">
        <f>SUM(F9,F10,F11,F12,F13,F14,F15,F16,F28,F34,F35,F37)</f>
        <v>4976577</v>
      </c>
      <c r="G41" s="61">
        <f>SUM(G9,G10,G11,G12,G13,G14,G15,G16,G28,G34,G35,G37)</f>
        <v>-2723423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0">SUM(C55:C58)</f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1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1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1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2">SUM(C60:C61)</f>
        <v>0</v>
      </c>
      <c r="D59" s="60">
        <f t="shared" si="12"/>
        <v>0</v>
      </c>
      <c r="E59" s="60">
        <f t="shared" si="12"/>
        <v>0</v>
      </c>
      <c r="F59" s="60">
        <f t="shared" si="12"/>
        <v>0</v>
      </c>
      <c r="G59" s="60">
        <f t="shared" si="12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3">C45+C54+C59+C62+C63</f>
        <v>0</v>
      </c>
      <c r="D65" s="61">
        <f t="shared" si="13"/>
        <v>0</v>
      </c>
      <c r="E65" s="61">
        <f t="shared" si="13"/>
        <v>0</v>
      </c>
      <c r="F65" s="61">
        <f t="shared" si="13"/>
        <v>0</v>
      </c>
      <c r="G65" s="61">
        <f t="shared" si="13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1000</v>
      </c>
      <c r="C67" s="61">
        <f t="shared" ref="C67:G67" si="14">C68</f>
        <v>0</v>
      </c>
      <c r="D67" s="61">
        <f t="shared" si="14"/>
        <v>1000</v>
      </c>
      <c r="E67" s="61">
        <f t="shared" si="14"/>
        <v>832.58</v>
      </c>
      <c r="F67" s="61">
        <f t="shared" si="14"/>
        <v>832.58</v>
      </c>
      <c r="G67" s="61">
        <f t="shared" si="14"/>
        <v>-167.41999999999996</v>
      </c>
    </row>
    <row r="68" spans="1:7" x14ac:dyDescent="0.25">
      <c r="A68" s="53" t="s">
        <v>269</v>
      </c>
      <c r="B68" s="60">
        <v>1000</v>
      </c>
      <c r="C68" s="60">
        <v>0</v>
      </c>
      <c r="D68" s="60">
        <v>1000</v>
      </c>
      <c r="E68" s="60">
        <v>832.58</v>
      </c>
      <c r="F68" s="60">
        <v>832.58</v>
      </c>
      <c r="G68" s="60">
        <f>F68-B68</f>
        <v>-167.41999999999996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7701000</v>
      </c>
      <c r="C70" s="61">
        <f t="shared" ref="C70:G70" si="15">C41+C65+C67</f>
        <v>0</v>
      </c>
      <c r="D70" s="61">
        <f t="shared" si="15"/>
        <v>7701000</v>
      </c>
      <c r="E70" s="61">
        <f t="shared" si="15"/>
        <v>4977409.58</v>
      </c>
      <c r="F70" s="61">
        <f t="shared" si="15"/>
        <v>4977409.58</v>
      </c>
      <c r="G70" s="61">
        <f t="shared" si="15"/>
        <v>-2723590.42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6">C73+C74</f>
        <v>0</v>
      </c>
      <c r="D75" s="61">
        <f t="shared" si="16"/>
        <v>0</v>
      </c>
      <c r="E75" s="61">
        <f t="shared" si="16"/>
        <v>0</v>
      </c>
      <c r="F75" s="61">
        <f t="shared" si="16"/>
        <v>0</v>
      </c>
      <c r="G75" s="61">
        <f t="shared" si="1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250000</v>
      </c>
      <c r="Q6" s="18">
        <f>'Formato 5'!C12</f>
        <v>0</v>
      </c>
      <c r="R6" s="18">
        <f>'Formato 5'!D12</f>
        <v>250000</v>
      </c>
      <c r="S6" s="18">
        <f>'Formato 5'!E12</f>
        <v>119430</v>
      </c>
      <c r="T6" s="18">
        <f>'Formato 5'!F12</f>
        <v>119430</v>
      </c>
      <c r="U6" s="18">
        <f>'Formato 5'!G12</f>
        <v>-130570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260000</v>
      </c>
      <c r="Q9" s="18">
        <f>'Formato 5'!C15</f>
        <v>0</v>
      </c>
      <c r="R9" s="18">
        <f>'Formato 5'!D15</f>
        <v>260000</v>
      </c>
      <c r="S9" s="18">
        <f>'Formato 5'!E15</f>
        <v>64650</v>
      </c>
      <c r="T9" s="18">
        <f>'Formato 5'!F15</f>
        <v>64650</v>
      </c>
      <c r="U9" s="18">
        <f>'Formato 5'!G15</f>
        <v>-195350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7100000</v>
      </c>
      <c r="Q28" s="18">
        <f>'Formato 5'!C34</f>
        <v>0</v>
      </c>
      <c r="R28" s="18">
        <f>'Formato 5'!D34</f>
        <v>7100000</v>
      </c>
      <c r="S28" s="18">
        <f>'Formato 5'!E34</f>
        <v>4606000</v>
      </c>
      <c r="T28" s="18">
        <f>'Formato 5'!F34</f>
        <v>4606000</v>
      </c>
      <c r="U28" s="18">
        <f>'Formato 5'!G34</f>
        <v>-2494000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90000</v>
      </c>
      <c r="Q29" s="18">
        <f>'Formato 5'!C35</f>
        <v>0</v>
      </c>
      <c r="R29" s="18">
        <f>'Formato 5'!D35</f>
        <v>90000</v>
      </c>
      <c r="S29" s="18">
        <f>'Formato 5'!E35</f>
        <v>186497</v>
      </c>
      <c r="T29" s="18">
        <f>'Formato 5'!F35</f>
        <v>186497</v>
      </c>
      <c r="U29" s="18">
        <f>'Formato 5'!G35</f>
        <v>96497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90000</v>
      </c>
      <c r="Q30" s="18">
        <f>'Formato 5'!C36</f>
        <v>0</v>
      </c>
      <c r="R30" s="18">
        <f>'Formato 5'!D36</f>
        <v>90000</v>
      </c>
      <c r="S30" s="18">
        <f>'Formato 5'!E36</f>
        <v>186497</v>
      </c>
      <c r="T30" s="18">
        <f>'Formato 5'!F36</f>
        <v>186497</v>
      </c>
      <c r="U30" s="18">
        <f>'Formato 5'!G36</f>
        <v>96497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7700000</v>
      </c>
      <c r="Q34">
        <f>'Formato 5'!C41</f>
        <v>0</v>
      </c>
      <c r="R34">
        <f>'Formato 5'!D41</f>
        <v>7700000</v>
      </c>
      <c r="S34">
        <f>'Formato 5'!E41</f>
        <v>4976577</v>
      </c>
      <c r="T34">
        <f>'Formato 5'!F41</f>
        <v>4976577</v>
      </c>
      <c r="U34">
        <f>'Formato 5'!G41</f>
        <v>-2723423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1000</v>
      </c>
      <c r="Q57">
        <f>'Formato 5'!C67</f>
        <v>0</v>
      </c>
      <c r="R57">
        <f>'Formato 5'!D67</f>
        <v>1000</v>
      </c>
      <c r="S57">
        <f>'Formato 5'!E67</f>
        <v>832.58</v>
      </c>
      <c r="T57">
        <f>'Formato 5'!F67</f>
        <v>832.58</v>
      </c>
      <c r="U57">
        <f>'Formato 5'!G67</f>
        <v>-167.41999999999996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1000</v>
      </c>
      <c r="Q58">
        <f>'Formato 5'!C68</f>
        <v>0</v>
      </c>
      <c r="R58">
        <f>'Formato 5'!D68</f>
        <v>1000</v>
      </c>
      <c r="S58">
        <f>'Formato 5'!E68</f>
        <v>832.58</v>
      </c>
      <c r="T58">
        <f>'Formato 5'!F68</f>
        <v>832.58</v>
      </c>
      <c r="U58">
        <f>'Formato 5'!G68</f>
        <v>-167.41999999999996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abSelected="1" zoomScaleNormal="100" zoomScalePageLayoutView="90" workbookViewId="0">
      <selection activeCell="F50" sqref="F5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Sistema para el Desarrollo Integral de la Familia del Municipio de Cd. Manuel Doblado,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30 de marzo de 2020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7701000</v>
      </c>
      <c r="C9" s="79">
        <f t="shared" ref="C9:G9" si="0">SUM(C10,C18,C28,C38,C48,C58,C62,C71,C75)</f>
        <v>0</v>
      </c>
      <c r="D9" s="79">
        <f t="shared" si="0"/>
        <v>7701000</v>
      </c>
      <c r="E9" s="79">
        <f t="shared" si="0"/>
        <v>4198682.03</v>
      </c>
      <c r="F9" s="79">
        <f t="shared" si="0"/>
        <v>4298682.03</v>
      </c>
      <c r="G9" s="79">
        <f t="shared" si="0"/>
        <v>3502317.9699999997</v>
      </c>
    </row>
    <row r="10" spans="1:7" ht="14.25" x14ac:dyDescent="0.45">
      <c r="A10" s="83" t="s">
        <v>286</v>
      </c>
      <c r="B10" s="80">
        <f>SUM(B11:B17)</f>
        <v>5549882.5899999999</v>
      </c>
      <c r="C10" s="80">
        <f t="shared" ref="C10:F10" si="1">SUM(C11:C17)</f>
        <v>0</v>
      </c>
      <c r="D10" s="80">
        <f t="shared" si="1"/>
        <v>5549882.5899999999</v>
      </c>
      <c r="E10" s="80">
        <f t="shared" si="1"/>
        <v>3273310.2800000003</v>
      </c>
      <c r="F10" s="80">
        <f t="shared" si="1"/>
        <v>3373310.2800000003</v>
      </c>
      <c r="G10" s="80">
        <f>SUM(G11:G17)</f>
        <v>2276572.3099999996</v>
      </c>
    </row>
    <row r="11" spans="1:7" x14ac:dyDescent="0.25">
      <c r="A11" s="84" t="s">
        <v>287</v>
      </c>
      <c r="B11" s="80">
        <v>5314882.59</v>
      </c>
      <c r="C11" s="80">
        <v>0</v>
      </c>
      <c r="D11" s="80">
        <f>B11</f>
        <v>5314882.59</v>
      </c>
      <c r="E11" s="80">
        <v>3128277.56</v>
      </c>
      <c r="F11" s="80">
        <v>3128277.56</v>
      </c>
      <c r="G11" s="80">
        <f>D11-E11</f>
        <v>2186605.0299999998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f t="shared" ref="D12:D17" si="2">B12</f>
        <v>0</v>
      </c>
      <c r="E12" s="80">
        <v>6600</v>
      </c>
      <c r="F12" s="80">
        <v>6600</v>
      </c>
      <c r="G12" s="80">
        <f>D12-E12</f>
        <v>-6600</v>
      </c>
    </row>
    <row r="13" spans="1:7" ht="14.25" x14ac:dyDescent="0.45">
      <c r="A13" s="84" t="s">
        <v>289</v>
      </c>
      <c r="B13" s="80">
        <v>0</v>
      </c>
      <c r="C13" s="80">
        <v>0</v>
      </c>
      <c r="D13" s="80">
        <f t="shared" si="2"/>
        <v>0</v>
      </c>
      <c r="E13" s="80">
        <v>13702.47</v>
      </c>
      <c r="F13" s="80">
        <v>13702.47</v>
      </c>
      <c r="G13" s="80">
        <f t="shared" ref="G13:G17" si="3">D13-E13</f>
        <v>-13702.47</v>
      </c>
    </row>
    <row r="14" spans="1:7" ht="14.25" x14ac:dyDescent="0.45">
      <c r="A14" s="84" t="s">
        <v>290</v>
      </c>
      <c r="B14" s="80">
        <v>235000</v>
      </c>
      <c r="C14" s="80">
        <v>0</v>
      </c>
      <c r="D14" s="80">
        <f t="shared" si="2"/>
        <v>235000</v>
      </c>
      <c r="E14" s="80">
        <v>110611.3</v>
      </c>
      <c r="F14" s="80">
        <v>110611.3</v>
      </c>
      <c r="G14" s="80">
        <f t="shared" si="3"/>
        <v>124388.7</v>
      </c>
    </row>
    <row r="15" spans="1:7" x14ac:dyDescent="0.25">
      <c r="A15" s="84" t="s">
        <v>291</v>
      </c>
      <c r="B15" s="80">
        <v>0</v>
      </c>
      <c r="C15" s="80">
        <v>0</v>
      </c>
      <c r="D15" s="80">
        <f t="shared" si="2"/>
        <v>0</v>
      </c>
      <c r="E15" s="80">
        <v>14118.95</v>
      </c>
      <c r="F15" s="80">
        <v>114118.95</v>
      </c>
      <c r="G15" s="80">
        <f t="shared" si="3"/>
        <v>-14118.95</v>
      </c>
    </row>
    <row r="16" spans="1:7" ht="14.25" x14ac:dyDescent="0.45">
      <c r="A16" s="84" t="s">
        <v>292</v>
      </c>
      <c r="B16" s="80">
        <v>0</v>
      </c>
      <c r="C16" s="80">
        <v>0</v>
      </c>
      <c r="D16" s="80">
        <f t="shared" si="2"/>
        <v>0</v>
      </c>
      <c r="E16" s="80">
        <v>0</v>
      </c>
      <c r="F16" s="80">
        <v>0</v>
      </c>
      <c r="G16" s="80">
        <f t="shared" si="3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f t="shared" si="2"/>
        <v>0</v>
      </c>
      <c r="E17" s="80">
        <v>0</v>
      </c>
      <c r="F17" s="80">
        <v>0</v>
      </c>
      <c r="G17" s="80">
        <f t="shared" si="3"/>
        <v>0</v>
      </c>
    </row>
    <row r="18" spans="1:7" ht="14.25" x14ac:dyDescent="0.45">
      <c r="A18" s="83" t="s">
        <v>294</v>
      </c>
      <c r="B18" s="80">
        <f>SUM(B19:B27)</f>
        <v>636816.5</v>
      </c>
      <c r="C18" s="80">
        <f t="shared" ref="C18:F18" si="4">SUM(C19:C27)</f>
        <v>0</v>
      </c>
      <c r="D18" s="80">
        <f t="shared" si="4"/>
        <v>636816.5</v>
      </c>
      <c r="E18" s="80">
        <f t="shared" si="4"/>
        <v>514216.01999999996</v>
      </c>
      <c r="F18" s="80">
        <f t="shared" si="4"/>
        <v>514216.01999999996</v>
      </c>
      <c r="G18" s="80">
        <f>SUM(G19:G27)</f>
        <v>122600.48000000004</v>
      </c>
    </row>
    <row r="19" spans="1:7" x14ac:dyDescent="0.25">
      <c r="A19" s="84" t="s">
        <v>295</v>
      </c>
      <c r="B19" s="80">
        <v>63500</v>
      </c>
      <c r="C19" s="80">
        <v>0</v>
      </c>
      <c r="D19" s="80">
        <f>B19</f>
        <v>63500</v>
      </c>
      <c r="E19" s="80">
        <v>80237.399999999994</v>
      </c>
      <c r="F19" s="80">
        <v>80237.399999999994</v>
      </c>
      <c r="G19" s="80">
        <f>D19-E19</f>
        <v>-16737.399999999994</v>
      </c>
    </row>
    <row r="20" spans="1:7" ht="14.25" x14ac:dyDescent="0.45">
      <c r="A20" s="84" t="s">
        <v>296</v>
      </c>
      <c r="B20" s="80">
        <v>40000</v>
      </c>
      <c r="C20" s="80">
        <v>0</v>
      </c>
      <c r="D20" s="80">
        <f t="shared" ref="D20:D27" si="5">B20</f>
        <v>40000</v>
      </c>
      <c r="E20" s="80">
        <v>100986.96</v>
      </c>
      <c r="F20" s="80">
        <v>100986.96</v>
      </c>
      <c r="G20" s="80">
        <f t="shared" ref="G20:G27" si="6">D20-E20</f>
        <v>-60986.960000000006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f t="shared" si="5"/>
        <v>0</v>
      </c>
      <c r="E21" s="80">
        <v>0</v>
      </c>
      <c r="F21" s="80">
        <v>0</v>
      </c>
      <c r="G21" s="80">
        <f t="shared" si="6"/>
        <v>0</v>
      </c>
    </row>
    <row r="22" spans="1:7" x14ac:dyDescent="0.25">
      <c r="A22" s="84" t="s">
        <v>298</v>
      </c>
      <c r="B22" s="80">
        <v>2000</v>
      </c>
      <c r="C22" s="80">
        <v>0</v>
      </c>
      <c r="D22" s="80">
        <f t="shared" si="5"/>
        <v>2000</v>
      </c>
      <c r="E22" s="80">
        <v>72151.89</v>
      </c>
      <c r="F22" s="80">
        <v>72151.89</v>
      </c>
      <c r="G22" s="80">
        <f t="shared" si="6"/>
        <v>-70151.89</v>
      </c>
    </row>
    <row r="23" spans="1:7" x14ac:dyDescent="0.25">
      <c r="A23" s="84" t="s">
        <v>299</v>
      </c>
      <c r="B23" s="80">
        <v>2000</v>
      </c>
      <c r="C23" s="80">
        <v>0</v>
      </c>
      <c r="D23" s="80">
        <f t="shared" si="5"/>
        <v>2000</v>
      </c>
      <c r="E23" s="80">
        <v>6544</v>
      </c>
      <c r="F23" s="80">
        <v>6544</v>
      </c>
      <c r="G23" s="80">
        <f t="shared" si="6"/>
        <v>-4544</v>
      </c>
    </row>
    <row r="24" spans="1:7" ht="14.25" x14ac:dyDescent="0.45">
      <c r="A24" s="84" t="s">
        <v>300</v>
      </c>
      <c r="B24" s="80">
        <v>484000</v>
      </c>
      <c r="C24" s="80">
        <v>0</v>
      </c>
      <c r="D24" s="80">
        <f t="shared" si="5"/>
        <v>484000</v>
      </c>
      <c r="E24" s="80">
        <v>191067.46</v>
      </c>
      <c r="F24" s="80">
        <v>191067.46</v>
      </c>
      <c r="G24" s="80">
        <f t="shared" si="6"/>
        <v>292932.54000000004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f t="shared" si="5"/>
        <v>0</v>
      </c>
      <c r="E25" s="80">
        <v>12155.2</v>
      </c>
      <c r="F25" s="80">
        <v>12155.2</v>
      </c>
      <c r="G25" s="80">
        <f t="shared" si="6"/>
        <v>-12155.2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f t="shared" si="5"/>
        <v>0</v>
      </c>
      <c r="E26" s="80">
        <v>0</v>
      </c>
      <c r="F26" s="80">
        <v>0</v>
      </c>
      <c r="G26" s="80">
        <f t="shared" si="6"/>
        <v>0</v>
      </c>
    </row>
    <row r="27" spans="1:7" x14ac:dyDescent="0.25">
      <c r="A27" s="84" t="s">
        <v>303</v>
      </c>
      <c r="B27" s="80">
        <v>45316.5</v>
      </c>
      <c r="C27" s="80">
        <v>0</v>
      </c>
      <c r="D27" s="80">
        <f t="shared" si="5"/>
        <v>45316.5</v>
      </c>
      <c r="E27" s="80">
        <v>51073.11</v>
      </c>
      <c r="F27" s="80">
        <v>51073.11</v>
      </c>
      <c r="G27" s="80">
        <f t="shared" si="6"/>
        <v>-5756.6100000000006</v>
      </c>
    </row>
    <row r="28" spans="1:7" x14ac:dyDescent="0.25">
      <c r="A28" s="83" t="s">
        <v>304</v>
      </c>
      <c r="B28" s="80">
        <f>SUM(B29:B37)</f>
        <v>1036712.3</v>
      </c>
      <c r="C28" s="80">
        <f t="shared" ref="C28:G28" si="7">SUM(C29:C37)</f>
        <v>0</v>
      </c>
      <c r="D28" s="80">
        <f t="shared" si="7"/>
        <v>1036712.3</v>
      </c>
      <c r="E28" s="80">
        <f t="shared" si="7"/>
        <v>390868.82000000007</v>
      </c>
      <c r="F28" s="80">
        <f t="shared" si="7"/>
        <v>390868.82000000007</v>
      </c>
      <c r="G28" s="80">
        <f t="shared" si="7"/>
        <v>645843.4800000001</v>
      </c>
    </row>
    <row r="29" spans="1:7" x14ac:dyDescent="0.25">
      <c r="A29" s="84" t="s">
        <v>305</v>
      </c>
      <c r="B29" s="80">
        <v>74500</v>
      </c>
      <c r="C29" s="80">
        <v>0</v>
      </c>
      <c r="D29" s="80">
        <f>B29</f>
        <v>74500</v>
      </c>
      <c r="E29" s="80">
        <v>98909.759999999995</v>
      </c>
      <c r="F29" s="80">
        <v>98909.759999999995</v>
      </c>
      <c r="G29" s="80">
        <f>D29-E29</f>
        <v>-24409.759999999995</v>
      </c>
    </row>
    <row r="30" spans="1:7" x14ac:dyDescent="0.25">
      <c r="A30" s="84" t="s">
        <v>306</v>
      </c>
      <c r="B30" s="80">
        <v>42000</v>
      </c>
      <c r="C30" s="80">
        <v>0</v>
      </c>
      <c r="D30" s="80">
        <f t="shared" ref="D30:D37" si="8">B30</f>
        <v>42000</v>
      </c>
      <c r="E30" s="80">
        <v>24500</v>
      </c>
      <c r="F30" s="80">
        <v>24500</v>
      </c>
      <c r="G30" s="80">
        <f t="shared" ref="G30:G37" si="9">D30-E30</f>
        <v>17500</v>
      </c>
    </row>
    <row r="31" spans="1:7" x14ac:dyDescent="0.25">
      <c r="A31" s="84" t="s">
        <v>307</v>
      </c>
      <c r="B31" s="80">
        <v>35000</v>
      </c>
      <c r="C31" s="80">
        <v>0</v>
      </c>
      <c r="D31" s="80">
        <f t="shared" si="8"/>
        <v>35000</v>
      </c>
      <c r="E31" s="80">
        <v>49100.4</v>
      </c>
      <c r="F31" s="80">
        <v>49100.4</v>
      </c>
      <c r="G31" s="80">
        <f t="shared" si="9"/>
        <v>-14100.400000000001</v>
      </c>
    </row>
    <row r="32" spans="1:7" x14ac:dyDescent="0.25">
      <c r="A32" s="84" t="s">
        <v>308</v>
      </c>
      <c r="B32" s="80">
        <v>23000</v>
      </c>
      <c r="C32" s="80">
        <v>0</v>
      </c>
      <c r="D32" s="80">
        <f t="shared" si="8"/>
        <v>23000</v>
      </c>
      <c r="E32" s="80">
        <v>10510.76</v>
      </c>
      <c r="F32" s="80">
        <v>10510.76</v>
      </c>
      <c r="G32" s="80">
        <f t="shared" si="9"/>
        <v>12489.24</v>
      </c>
    </row>
    <row r="33" spans="1:7" x14ac:dyDescent="0.25">
      <c r="A33" s="84" t="s">
        <v>309</v>
      </c>
      <c r="B33" s="80">
        <v>325000</v>
      </c>
      <c r="C33" s="80">
        <v>0</v>
      </c>
      <c r="D33" s="80">
        <f t="shared" si="8"/>
        <v>325000</v>
      </c>
      <c r="E33" s="80">
        <v>94755.15</v>
      </c>
      <c r="F33" s="80">
        <v>94755.15</v>
      </c>
      <c r="G33" s="80">
        <f t="shared" si="9"/>
        <v>230244.85</v>
      </c>
    </row>
    <row r="34" spans="1:7" x14ac:dyDescent="0.25">
      <c r="A34" s="84" t="s">
        <v>310</v>
      </c>
      <c r="B34" s="80">
        <v>2000</v>
      </c>
      <c r="C34" s="80">
        <v>0</v>
      </c>
      <c r="D34" s="80">
        <f t="shared" si="8"/>
        <v>2000</v>
      </c>
      <c r="E34" s="80">
        <v>16240</v>
      </c>
      <c r="F34" s="80">
        <v>16240</v>
      </c>
      <c r="G34" s="80">
        <f t="shared" si="9"/>
        <v>-14240</v>
      </c>
    </row>
    <row r="35" spans="1:7" x14ac:dyDescent="0.25">
      <c r="A35" s="84" t="s">
        <v>311</v>
      </c>
      <c r="B35" s="80">
        <v>5500</v>
      </c>
      <c r="C35" s="80">
        <v>0</v>
      </c>
      <c r="D35" s="80">
        <f t="shared" si="8"/>
        <v>5500</v>
      </c>
      <c r="E35" s="80">
        <v>3766</v>
      </c>
      <c r="F35" s="80">
        <v>3766</v>
      </c>
      <c r="G35" s="80">
        <f t="shared" si="9"/>
        <v>1734</v>
      </c>
    </row>
    <row r="36" spans="1:7" x14ac:dyDescent="0.25">
      <c r="A36" s="84" t="s">
        <v>312</v>
      </c>
      <c r="B36" s="80">
        <v>400000</v>
      </c>
      <c r="C36" s="80">
        <v>0</v>
      </c>
      <c r="D36" s="80">
        <f t="shared" si="8"/>
        <v>400000</v>
      </c>
      <c r="E36" s="80">
        <v>56611.72</v>
      </c>
      <c r="F36" s="80">
        <v>56611.72</v>
      </c>
      <c r="G36" s="80">
        <f t="shared" si="9"/>
        <v>343388.28</v>
      </c>
    </row>
    <row r="37" spans="1:7" x14ac:dyDescent="0.25">
      <c r="A37" s="84" t="s">
        <v>313</v>
      </c>
      <c r="B37" s="80">
        <v>129712.3</v>
      </c>
      <c r="C37" s="80">
        <v>0</v>
      </c>
      <c r="D37" s="80">
        <f t="shared" si="8"/>
        <v>129712.3</v>
      </c>
      <c r="E37" s="80">
        <v>36475.03</v>
      </c>
      <c r="F37" s="80">
        <v>36475.03</v>
      </c>
      <c r="G37" s="80">
        <f t="shared" si="9"/>
        <v>93237.27</v>
      </c>
    </row>
    <row r="38" spans="1:7" x14ac:dyDescent="0.25">
      <c r="A38" s="83" t="s">
        <v>314</v>
      </c>
      <c r="B38" s="80">
        <f>SUM(B39:B47)</f>
        <v>221764.61</v>
      </c>
      <c r="C38" s="80">
        <f t="shared" ref="C38:G38" si="10">SUM(C39:C47)</f>
        <v>0</v>
      </c>
      <c r="D38" s="80">
        <f t="shared" si="10"/>
        <v>221764.61</v>
      </c>
      <c r="E38" s="80">
        <f t="shared" si="10"/>
        <v>5739.91</v>
      </c>
      <c r="F38" s="80">
        <f t="shared" si="10"/>
        <v>5739.91</v>
      </c>
      <c r="G38" s="80">
        <f t="shared" si="10"/>
        <v>216024.69999999998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f>B39</f>
        <v>0</v>
      </c>
      <c r="E39" s="80">
        <v>0</v>
      </c>
      <c r="F39" s="80">
        <f>E39</f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f t="shared" ref="D40:D47" si="11">B40</f>
        <v>0</v>
      </c>
      <c r="E40" s="80">
        <v>0</v>
      </c>
      <c r="F40" s="80">
        <f t="shared" ref="F40:F47" si="12">E40</f>
        <v>0</v>
      </c>
      <c r="G40" s="80">
        <f t="shared" ref="G40:G47" si="13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f t="shared" si="11"/>
        <v>0</v>
      </c>
      <c r="E41" s="80">
        <v>0</v>
      </c>
      <c r="F41" s="80">
        <f t="shared" si="12"/>
        <v>0</v>
      </c>
      <c r="G41" s="80">
        <f t="shared" si="13"/>
        <v>0</v>
      </c>
    </row>
    <row r="42" spans="1:7" x14ac:dyDescent="0.25">
      <c r="A42" s="84" t="s">
        <v>318</v>
      </c>
      <c r="B42" s="80">
        <v>221764.61</v>
      </c>
      <c r="C42" s="80">
        <v>0</v>
      </c>
      <c r="D42" s="80">
        <f t="shared" si="11"/>
        <v>221764.61</v>
      </c>
      <c r="E42" s="80">
        <v>5739.91</v>
      </c>
      <c r="F42" s="80">
        <f t="shared" si="12"/>
        <v>5739.91</v>
      </c>
      <c r="G42" s="80">
        <f t="shared" si="13"/>
        <v>216024.69999999998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f t="shared" si="11"/>
        <v>0</v>
      </c>
      <c r="E43" s="80">
        <v>0</v>
      </c>
      <c r="F43" s="80">
        <f t="shared" si="12"/>
        <v>0</v>
      </c>
      <c r="G43" s="80">
        <f t="shared" si="13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f t="shared" si="11"/>
        <v>0</v>
      </c>
      <c r="E44" s="80">
        <v>0</v>
      </c>
      <c r="F44" s="80">
        <f t="shared" si="12"/>
        <v>0</v>
      </c>
      <c r="G44" s="80">
        <f t="shared" si="13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f t="shared" si="11"/>
        <v>0</v>
      </c>
      <c r="E45" s="80">
        <v>0</v>
      </c>
      <c r="F45" s="80">
        <f t="shared" si="12"/>
        <v>0</v>
      </c>
      <c r="G45" s="80">
        <f t="shared" si="13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f t="shared" si="11"/>
        <v>0</v>
      </c>
      <c r="E46" s="80">
        <v>0</v>
      </c>
      <c r="F46" s="80">
        <f t="shared" si="12"/>
        <v>0</v>
      </c>
      <c r="G46" s="80">
        <f t="shared" si="13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f t="shared" si="11"/>
        <v>0</v>
      </c>
      <c r="E47" s="80">
        <v>0</v>
      </c>
      <c r="F47" s="80">
        <f t="shared" si="12"/>
        <v>0</v>
      </c>
      <c r="G47" s="80">
        <f t="shared" si="13"/>
        <v>0</v>
      </c>
    </row>
    <row r="48" spans="1:7" x14ac:dyDescent="0.25">
      <c r="A48" s="83" t="s">
        <v>324</v>
      </c>
      <c r="B48" s="80">
        <f>SUM(B49:B57)</f>
        <v>0</v>
      </c>
      <c r="C48" s="80">
        <f t="shared" ref="C48:G48" si="14">SUM(C49:C57)</f>
        <v>0</v>
      </c>
      <c r="D48" s="80">
        <f t="shared" si="14"/>
        <v>0</v>
      </c>
      <c r="E48" s="80">
        <f t="shared" si="14"/>
        <v>14547</v>
      </c>
      <c r="F48" s="80">
        <f t="shared" si="14"/>
        <v>14547</v>
      </c>
      <c r="G48" s="80">
        <f t="shared" si="14"/>
        <v>-14547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f>B49</f>
        <v>0</v>
      </c>
      <c r="E49" s="80">
        <v>14547</v>
      </c>
      <c r="F49" s="80">
        <v>14547</v>
      </c>
      <c r="G49" s="80">
        <f>D49-E49</f>
        <v>-14547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f t="shared" ref="D50:D61" si="15">B50</f>
        <v>0</v>
      </c>
      <c r="E50" s="80">
        <v>0</v>
      </c>
      <c r="F50" s="80">
        <f t="shared" ref="F50:F57" si="16">E50</f>
        <v>0</v>
      </c>
      <c r="G50" s="80">
        <f t="shared" ref="G50:G57" si="17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f t="shared" si="15"/>
        <v>0</v>
      </c>
      <c r="E51" s="80">
        <v>0</v>
      </c>
      <c r="F51" s="80">
        <f t="shared" si="16"/>
        <v>0</v>
      </c>
      <c r="G51" s="80">
        <f t="shared" si="17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f t="shared" si="15"/>
        <v>0</v>
      </c>
      <c r="E52" s="80">
        <v>0</v>
      </c>
      <c r="F52" s="80">
        <f t="shared" si="16"/>
        <v>0</v>
      </c>
      <c r="G52" s="80">
        <f t="shared" si="17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f t="shared" si="15"/>
        <v>0</v>
      </c>
      <c r="E53" s="80">
        <v>0</v>
      </c>
      <c r="F53" s="80">
        <f t="shared" si="16"/>
        <v>0</v>
      </c>
      <c r="G53" s="80">
        <f t="shared" si="17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f t="shared" si="15"/>
        <v>0</v>
      </c>
      <c r="E54" s="80">
        <v>0</v>
      </c>
      <c r="F54" s="80">
        <f t="shared" si="16"/>
        <v>0</v>
      </c>
      <c r="G54" s="80">
        <f t="shared" si="17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f t="shared" si="15"/>
        <v>0</v>
      </c>
      <c r="E55" s="80">
        <v>0</v>
      </c>
      <c r="F55" s="80">
        <f t="shared" si="16"/>
        <v>0</v>
      </c>
      <c r="G55" s="80">
        <f t="shared" si="17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f t="shared" si="15"/>
        <v>0</v>
      </c>
      <c r="E56" s="80">
        <v>0</v>
      </c>
      <c r="F56" s="80">
        <f t="shared" si="16"/>
        <v>0</v>
      </c>
      <c r="G56" s="80">
        <f t="shared" si="17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f t="shared" si="15"/>
        <v>0</v>
      </c>
      <c r="E57" s="80">
        <v>0</v>
      </c>
      <c r="F57" s="80">
        <f t="shared" si="16"/>
        <v>0</v>
      </c>
      <c r="G57" s="80">
        <f t="shared" si="17"/>
        <v>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18">SUM(C59:C61)</f>
        <v>0</v>
      </c>
      <c r="D58" s="80">
        <f t="shared" si="15"/>
        <v>0</v>
      </c>
      <c r="E58" s="80">
        <f t="shared" si="18"/>
        <v>0</v>
      </c>
      <c r="F58" s="80">
        <f t="shared" si="18"/>
        <v>0</v>
      </c>
      <c r="G58" s="80">
        <f t="shared" si="18"/>
        <v>0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f t="shared" si="15"/>
        <v>0</v>
      </c>
      <c r="E59" s="80">
        <v>0</v>
      </c>
      <c r="F59" s="80">
        <f>E59</f>
        <v>0</v>
      </c>
      <c r="G59" s="80">
        <f>D59-E59</f>
        <v>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f t="shared" si="15"/>
        <v>0</v>
      </c>
      <c r="E60" s="80">
        <v>0</v>
      </c>
      <c r="F60" s="80">
        <f t="shared" ref="F60:F61" si="19">E60</f>
        <v>0</v>
      </c>
      <c r="G60" s="80">
        <f t="shared" ref="G60:G61" si="20">D60-E60</f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f t="shared" si="15"/>
        <v>0</v>
      </c>
      <c r="E61" s="80">
        <v>0</v>
      </c>
      <c r="F61" s="80">
        <f t="shared" si="19"/>
        <v>0</v>
      </c>
      <c r="G61" s="80">
        <f t="shared" si="20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21">SUM(C63:C67,C69:C70)</f>
        <v>0</v>
      </c>
      <c r="D62" s="80">
        <f t="shared" si="21"/>
        <v>0</v>
      </c>
      <c r="E62" s="80">
        <f t="shared" si="21"/>
        <v>0</v>
      </c>
      <c r="F62" s="80">
        <f t="shared" si="21"/>
        <v>0</v>
      </c>
      <c r="G62" s="80">
        <f t="shared" si="2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f>B63</f>
        <v>0</v>
      </c>
      <c r="E63" s="80">
        <v>0</v>
      </c>
      <c r="F63" s="80">
        <f>E63</f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f t="shared" ref="D64:D74" si="22">B64</f>
        <v>0</v>
      </c>
      <c r="E64" s="80">
        <v>0</v>
      </c>
      <c r="F64" s="80">
        <f t="shared" ref="F64:F70" si="23">E64</f>
        <v>0</v>
      </c>
      <c r="G64" s="80">
        <f t="shared" ref="G64:G70" si="24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f t="shared" si="22"/>
        <v>0</v>
      </c>
      <c r="E65" s="80">
        <v>0</v>
      </c>
      <c r="F65" s="80">
        <f t="shared" si="23"/>
        <v>0</v>
      </c>
      <c r="G65" s="80">
        <f t="shared" si="24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f t="shared" si="22"/>
        <v>0</v>
      </c>
      <c r="E66" s="80">
        <v>0</v>
      </c>
      <c r="F66" s="80">
        <f t="shared" si="23"/>
        <v>0</v>
      </c>
      <c r="G66" s="80">
        <f t="shared" si="24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f t="shared" si="22"/>
        <v>0</v>
      </c>
      <c r="E67" s="80">
        <v>0</v>
      </c>
      <c r="F67" s="80">
        <f t="shared" si="23"/>
        <v>0</v>
      </c>
      <c r="G67" s="80">
        <f t="shared" si="24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f t="shared" si="22"/>
        <v>0</v>
      </c>
      <c r="E68" s="80">
        <v>0</v>
      </c>
      <c r="F68" s="80">
        <f t="shared" si="23"/>
        <v>0</v>
      </c>
      <c r="G68" s="80">
        <f t="shared" si="24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f t="shared" si="22"/>
        <v>0</v>
      </c>
      <c r="E69" s="80">
        <v>0</v>
      </c>
      <c r="F69" s="80">
        <f t="shared" si="23"/>
        <v>0</v>
      </c>
      <c r="G69" s="80">
        <f t="shared" si="24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f t="shared" si="22"/>
        <v>0</v>
      </c>
      <c r="E70" s="80">
        <v>0</v>
      </c>
      <c r="F70" s="80">
        <f t="shared" si="23"/>
        <v>0</v>
      </c>
      <c r="G70" s="80">
        <f t="shared" si="2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5">SUM(C72:C74)</f>
        <v>0</v>
      </c>
      <c r="D71" s="80">
        <f t="shared" si="22"/>
        <v>0</v>
      </c>
      <c r="E71" s="80">
        <f t="shared" si="25"/>
        <v>0</v>
      </c>
      <c r="F71" s="80">
        <f t="shared" si="25"/>
        <v>0</v>
      </c>
      <c r="G71" s="80">
        <f t="shared" si="25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f t="shared" si="22"/>
        <v>0</v>
      </c>
      <c r="E72" s="80">
        <v>0</v>
      </c>
      <c r="F72" s="80">
        <f>E72</f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f t="shared" si="22"/>
        <v>0</v>
      </c>
      <c r="E73" s="80">
        <v>0</v>
      </c>
      <c r="F73" s="80">
        <f t="shared" ref="F73:F74" si="26">E73</f>
        <v>0</v>
      </c>
      <c r="G73" s="80">
        <f t="shared" ref="G73:G74" si="27"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f t="shared" si="22"/>
        <v>0</v>
      </c>
      <c r="E74" s="80">
        <v>0</v>
      </c>
      <c r="F74" s="80">
        <f t="shared" si="26"/>
        <v>0</v>
      </c>
      <c r="G74" s="80">
        <f t="shared" si="27"/>
        <v>0</v>
      </c>
    </row>
    <row r="75" spans="1:7" x14ac:dyDescent="0.25">
      <c r="A75" s="83" t="s">
        <v>351</v>
      </c>
      <c r="B75" s="80">
        <f>SUM(B76:B82)</f>
        <v>255824</v>
      </c>
      <c r="C75" s="80">
        <f t="shared" ref="C75:G75" si="28">SUM(C76:C82)</f>
        <v>0</v>
      </c>
      <c r="D75" s="80">
        <f t="shared" si="28"/>
        <v>255824</v>
      </c>
      <c r="E75" s="80">
        <f t="shared" si="28"/>
        <v>0</v>
      </c>
      <c r="F75" s="80">
        <f t="shared" si="28"/>
        <v>0</v>
      </c>
      <c r="G75" s="80">
        <f t="shared" si="28"/>
        <v>255824</v>
      </c>
    </row>
    <row r="76" spans="1:7" x14ac:dyDescent="0.25">
      <c r="A76" s="84" t="s">
        <v>352</v>
      </c>
      <c r="B76" s="80">
        <v>255824</v>
      </c>
      <c r="C76" s="80">
        <v>0</v>
      </c>
      <c r="D76" s="80">
        <f>B76</f>
        <v>255824</v>
      </c>
      <c r="E76" s="80">
        <v>0</v>
      </c>
      <c r="F76" s="80">
        <f>E76</f>
        <v>0</v>
      </c>
      <c r="G76" s="80">
        <f>D76-E76</f>
        <v>255824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f t="shared" ref="D77:D82" si="29">B77</f>
        <v>0</v>
      </c>
      <c r="E77" s="80">
        <v>0</v>
      </c>
      <c r="F77" s="80">
        <f t="shared" ref="F77:F82" si="30">E77</f>
        <v>0</v>
      </c>
      <c r="G77" s="80">
        <f t="shared" ref="G77:G82" si="31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f t="shared" si="29"/>
        <v>0</v>
      </c>
      <c r="E78" s="80">
        <v>0</v>
      </c>
      <c r="F78" s="80">
        <f t="shared" si="30"/>
        <v>0</v>
      </c>
      <c r="G78" s="80">
        <f t="shared" si="31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f t="shared" si="29"/>
        <v>0</v>
      </c>
      <c r="E79" s="80">
        <v>0</v>
      </c>
      <c r="F79" s="80">
        <f t="shared" si="30"/>
        <v>0</v>
      </c>
      <c r="G79" s="80">
        <f t="shared" si="31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f t="shared" si="29"/>
        <v>0</v>
      </c>
      <c r="E80" s="80">
        <v>0</v>
      </c>
      <c r="F80" s="80">
        <f t="shared" si="30"/>
        <v>0</v>
      </c>
      <c r="G80" s="80">
        <f t="shared" si="31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f t="shared" si="29"/>
        <v>0</v>
      </c>
      <c r="E81" s="80">
        <v>0</v>
      </c>
      <c r="F81" s="80">
        <f t="shared" si="30"/>
        <v>0</v>
      </c>
      <c r="G81" s="80">
        <f t="shared" si="31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f t="shared" si="29"/>
        <v>0</v>
      </c>
      <c r="E82" s="80">
        <v>0</v>
      </c>
      <c r="F82" s="80">
        <f t="shared" si="30"/>
        <v>0</v>
      </c>
      <c r="G82" s="80">
        <f t="shared" si="31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32">SUM(C85,C93,C103,C113,C123,C133,C137,C146,C150)</f>
        <v>0</v>
      </c>
      <c r="D84" s="79">
        <f t="shared" si="32"/>
        <v>0</v>
      </c>
      <c r="E84" s="79">
        <f t="shared" si="32"/>
        <v>0</v>
      </c>
      <c r="F84" s="79">
        <f t="shared" si="32"/>
        <v>0</v>
      </c>
      <c r="G84" s="79">
        <f t="shared" si="32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33">SUM(C86:C92)</f>
        <v>0</v>
      </c>
      <c r="D85" s="80">
        <f t="shared" si="33"/>
        <v>0</v>
      </c>
      <c r="E85" s="80">
        <f t="shared" si="33"/>
        <v>0</v>
      </c>
      <c r="F85" s="80">
        <f t="shared" si="33"/>
        <v>0</v>
      </c>
      <c r="G85" s="80">
        <f t="shared" si="33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34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34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34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34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34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34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35">SUM(C94:C102)</f>
        <v>0</v>
      </c>
      <c r="D93" s="80">
        <f t="shared" si="35"/>
        <v>0</v>
      </c>
      <c r="E93" s="80">
        <f t="shared" si="35"/>
        <v>0</v>
      </c>
      <c r="F93" s="80">
        <f t="shared" si="35"/>
        <v>0</v>
      </c>
      <c r="G93" s="80">
        <f t="shared" si="35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36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36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36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36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36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36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36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36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7">SUM(D104:D112)</f>
        <v>0</v>
      </c>
      <c r="E103" s="80">
        <f t="shared" si="37"/>
        <v>0</v>
      </c>
      <c r="F103" s="80">
        <f t="shared" si="37"/>
        <v>0</v>
      </c>
      <c r="G103" s="80">
        <f t="shared" si="37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38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38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38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38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38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38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38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38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9">SUM(C114:C122)</f>
        <v>0</v>
      </c>
      <c r="D113" s="80">
        <f t="shared" si="39"/>
        <v>0</v>
      </c>
      <c r="E113" s="80">
        <f t="shared" si="39"/>
        <v>0</v>
      </c>
      <c r="F113" s="80">
        <f t="shared" si="39"/>
        <v>0</v>
      </c>
      <c r="G113" s="80">
        <f t="shared" si="39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40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40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40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40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40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40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40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42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42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42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42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42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42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42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42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3">SUM(C134:C136)</f>
        <v>0</v>
      </c>
      <c r="D133" s="80">
        <f t="shared" si="43"/>
        <v>0</v>
      </c>
      <c r="E133" s="80">
        <f t="shared" si="43"/>
        <v>0</v>
      </c>
      <c r="F133" s="80">
        <f t="shared" si="43"/>
        <v>0</v>
      </c>
      <c r="G133" s="80">
        <f t="shared" si="43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 t="shared" ref="G135:G136" si="44"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 t="shared" si="44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45">SUM(C138:C142,C144:C145)</f>
        <v>0</v>
      </c>
      <c r="D137" s="80">
        <f t="shared" si="45"/>
        <v>0</v>
      </c>
      <c r="E137" s="80">
        <f t="shared" si="45"/>
        <v>0</v>
      </c>
      <c r="F137" s="80">
        <f t="shared" si="45"/>
        <v>0</v>
      </c>
      <c r="G137" s="80">
        <f t="shared" si="45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46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46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46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46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46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46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46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47">SUM(C147:C149)</f>
        <v>0</v>
      </c>
      <c r="D146" s="80">
        <f t="shared" si="47"/>
        <v>0</v>
      </c>
      <c r="E146" s="80">
        <f t="shared" si="47"/>
        <v>0</v>
      </c>
      <c r="F146" s="80">
        <f t="shared" si="47"/>
        <v>0</v>
      </c>
      <c r="G146" s="80">
        <f t="shared" si="47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 t="shared" ref="G148:G149" si="48"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 t="shared" si="48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49">SUM(C151:C157)</f>
        <v>0</v>
      </c>
      <c r="D150" s="80">
        <f t="shared" si="49"/>
        <v>0</v>
      </c>
      <c r="E150" s="80">
        <f t="shared" si="49"/>
        <v>0</v>
      </c>
      <c r="F150" s="80">
        <f t="shared" si="49"/>
        <v>0</v>
      </c>
      <c r="G150" s="80">
        <f t="shared" si="49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50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50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50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50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50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50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7701000</v>
      </c>
      <c r="C159" s="79">
        <f t="shared" ref="C159:G159" si="51">C9+C84</f>
        <v>0</v>
      </c>
      <c r="D159" s="79">
        <f t="shared" si="51"/>
        <v>7701000</v>
      </c>
      <c r="E159" s="79">
        <f t="shared" si="51"/>
        <v>4198682.03</v>
      </c>
      <c r="F159" s="79">
        <f t="shared" si="51"/>
        <v>4298682.03</v>
      </c>
      <c r="G159" s="79">
        <f t="shared" si="51"/>
        <v>3502317.9699999997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7701000</v>
      </c>
      <c r="Q2" s="18">
        <f>'Formato 6 a)'!C9</f>
        <v>0</v>
      </c>
      <c r="R2" s="18">
        <f>'Formato 6 a)'!D9</f>
        <v>7701000</v>
      </c>
      <c r="S2" s="18">
        <f>'Formato 6 a)'!E9</f>
        <v>4198682.03</v>
      </c>
      <c r="T2" s="18">
        <f>'Formato 6 a)'!F9</f>
        <v>4298682.03</v>
      </c>
      <c r="U2" s="18">
        <f>'Formato 6 a)'!G9</f>
        <v>3502317.9699999997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5549882.5899999999</v>
      </c>
      <c r="Q3" s="18">
        <f>'Formato 6 a)'!C10</f>
        <v>0</v>
      </c>
      <c r="R3" s="18">
        <f>'Formato 6 a)'!D10</f>
        <v>5549882.5899999999</v>
      </c>
      <c r="S3" s="18">
        <f>'Formato 6 a)'!E10</f>
        <v>3273310.2800000003</v>
      </c>
      <c r="T3" s="18">
        <f>'Formato 6 a)'!F10</f>
        <v>3373310.2800000003</v>
      </c>
      <c r="U3" s="18">
        <f>'Formato 6 a)'!G10</f>
        <v>2276572.3099999996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5314882.59</v>
      </c>
      <c r="Q4" s="18">
        <f>'Formato 6 a)'!C11</f>
        <v>0</v>
      </c>
      <c r="R4" s="18">
        <f>'Formato 6 a)'!D11</f>
        <v>5314882.59</v>
      </c>
      <c r="S4" s="18">
        <f>'Formato 6 a)'!E11</f>
        <v>3128277.56</v>
      </c>
      <c r="T4" s="18">
        <f>'Formato 6 a)'!F11</f>
        <v>3128277.56</v>
      </c>
      <c r="U4" s="18">
        <f>'Formato 6 a)'!G11</f>
        <v>2186605.0299999998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6600</v>
      </c>
      <c r="T5" s="18">
        <f>'Formato 6 a)'!F12</f>
        <v>6600</v>
      </c>
      <c r="U5" s="18">
        <f>'Formato 6 a)'!G12</f>
        <v>-6600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13702.47</v>
      </c>
      <c r="T6" s="18">
        <f>'Formato 6 a)'!F13</f>
        <v>13702.47</v>
      </c>
      <c r="U6" s="18">
        <f>'Formato 6 a)'!G13</f>
        <v>-13702.47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235000</v>
      </c>
      <c r="Q7" s="18">
        <f>'Formato 6 a)'!C14</f>
        <v>0</v>
      </c>
      <c r="R7" s="18">
        <f>'Formato 6 a)'!D14</f>
        <v>235000</v>
      </c>
      <c r="S7" s="18">
        <f>'Formato 6 a)'!E14</f>
        <v>110611.3</v>
      </c>
      <c r="T7" s="18">
        <f>'Formato 6 a)'!F14</f>
        <v>110611.3</v>
      </c>
      <c r="U7" s="18">
        <f>'Formato 6 a)'!G14</f>
        <v>124388.7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14118.95</v>
      </c>
      <c r="T8" s="18">
        <f>'Formato 6 a)'!F15</f>
        <v>114118.95</v>
      </c>
      <c r="U8" s="18">
        <f>'Formato 6 a)'!G15</f>
        <v>-14118.95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636816.5</v>
      </c>
      <c r="Q11" s="18">
        <f>'Formato 6 a)'!C18</f>
        <v>0</v>
      </c>
      <c r="R11" s="18">
        <f>'Formato 6 a)'!D18</f>
        <v>636816.5</v>
      </c>
      <c r="S11" s="18">
        <f>'Formato 6 a)'!E18</f>
        <v>514216.01999999996</v>
      </c>
      <c r="T11" s="18">
        <f>'Formato 6 a)'!F18</f>
        <v>514216.01999999996</v>
      </c>
      <c r="U11" s="18">
        <f>'Formato 6 a)'!G18</f>
        <v>122600.48000000004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63500</v>
      </c>
      <c r="Q12" s="18">
        <f>'Formato 6 a)'!C19</f>
        <v>0</v>
      </c>
      <c r="R12" s="18">
        <f>'Formato 6 a)'!D19</f>
        <v>63500</v>
      </c>
      <c r="S12" s="18">
        <f>'Formato 6 a)'!E19</f>
        <v>80237.399999999994</v>
      </c>
      <c r="T12" s="18">
        <f>'Formato 6 a)'!F19</f>
        <v>80237.399999999994</v>
      </c>
      <c r="U12" s="18">
        <f>'Formato 6 a)'!G19</f>
        <v>-16737.399999999994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40000</v>
      </c>
      <c r="Q13" s="18">
        <f>'Formato 6 a)'!C20</f>
        <v>0</v>
      </c>
      <c r="R13" s="18">
        <f>'Formato 6 a)'!D20</f>
        <v>40000</v>
      </c>
      <c r="S13" s="18">
        <f>'Formato 6 a)'!E20</f>
        <v>100986.96</v>
      </c>
      <c r="T13" s="18">
        <f>'Formato 6 a)'!F20</f>
        <v>100986.96</v>
      </c>
      <c r="U13" s="18">
        <f>'Formato 6 a)'!G20</f>
        <v>-60986.960000000006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2000</v>
      </c>
      <c r="Q15" s="18">
        <f>'Formato 6 a)'!C22</f>
        <v>0</v>
      </c>
      <c r="R15" s="18">
        <f>'Formato 6 a)'!D22</f>
        <v>2000</v>
      </c>
      <c r="S15" s="18">
        <f>'Formato 6 a)'!E22</f>
        <v>72151.89</v>
      </c>
      <c r="T15" s="18">
        <f>'Formato 6 a)'!F22</f>
        <v>72151.89</v>
      </c>
      <c r="U15" s="18">
        <f>'Formato 6 a)'!G22</f>
        <v>-70151.89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2000</v>
      </c>
      <c r="Q16" s="18">
        <f>'Formato 6 a)'!C23</f>
        <v>0</v>
      </c>
      <c r="R16" s="18">
        <f>'Formato 6 a)'!D23</f>
        <v>2000</v>
      </c>
      <c r="S16" s="18">
        <f>'Formato 6 a)'!E23</f>
        <v>6544</v>
      </c>
      <c r="T16" s="18">
        <f>'Formato 6 a)'!F23</f>
        <v>6544</v>
      </c>
      <c r="U16" s="18">
        <f>'Formato 6 a)'!G23</f>
        <v>-4544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484000</v>
      </c>
      <c r="Q17" s="18">
        <f>'Formato 6 a)'!C24</f>
        <v>0</v>
      </c>
      <c r="R17" s="18">
        <f>'Formato 6 a)'!D24</f>
        <v>484000</v>
      </c>
      <c r="S17" s="18">
        <f>'Formato 6 a)'!E24</f>
        <v>191067.46</v>
      </c>
      <c r="T17" s="18">
        <f>'Formato 6 a)'!F24</f>
        <v>191067.46</v>
      </c>
      <c r="U17" s="18">
        <f>'Formato 6 a)'!G24</f>
        <v>292932.54000000004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12155.2</v>
      </c>
      <c r="T18" s="18">
        <f>'Formato 6 a)'!F25</f>
        <v>12155.2</v>
      </c>
      <c r="U18" s="18">
        <f>'Formato 6 a)'!G25</f>
        <v>-12155.2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45316.5</v>
      </c>
      <c r="Q20" s="18">
        <f>'Formato 6 a)'!C27</f>
        <v>0</v>
      </c>
      <c r="R20" s="18">
        <f>'Formato 6 a)'!D27</f>
        <v>45316.5</v>
      </c>
      <c r="S20" s="18">
        <f>'Formato 6 a)'!E27</f>
        <v>51073.11</v>
      </c>
      <c r="T20" s="18">
        <f>'Formato 6 a)'!F27</f>
        <v>51073.11</v>
      </c>
      <c r="U20" s="18">
        <f>'Formato 6 a)'!G27</f>
        <v>-5756.6100000000006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1036712.3</v>
      </c>
      <c r="Q21" s="18">
        <f>'Formato 6 a)'!C28</f>
        <v>0</v>
      </c>
      <c r="R21" s="18">
        <f>'Formato 6 a)'!D28</f>
        <v>1036712.3</v>
      </c>
      <c r="S21" s="18">
        <f>'Formato 6 a)'!E28</f>
        <v>390868.82000000007</v>
      </c>
      <c r="T21" s="18">
        <f>'Formato 6 a)'!F28</f>
        <v>390868.82000000007</v>
      </c>
      <c r="U21" s="18">
        <f>'Formato 6 a)'!G28</f>
        <v>645843.4800000001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74500</v>
      </c>
      <c r="Q22" s="18">
        <f>'Formato 6 a)'!C29</f>
        <v>0</v>
      </c>
      <c r="R22" s="18">
        <f>'Formato 6 a)'!D29</f>
        <v>74500</v>
      </c>
      <c r="S22" s="18">
        <f>'Formato 6 a)'!E29</f>
        <v>98909.759999999995</v>
      </c>
      <c r="T22" s="18">
        <f>'Formato 6 a)'!F29</f>
        <v>98909.759999999995</v>
      </c>
      <c r="U22" s="18">
        <f>'Formato 6 a)'!G29</f>
        <v>-24409.759999999995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42000</v>
      </c>
      <c r="Q23" s="18">
        <f>'Formato 6 a)'!C30</f>
        <v>0</v>
      </c>
      <c r="R23" s="18">
        <f>'Formato 6 a)'!D30</f>
        <v>42000</v>
      </c>
      <c r="S23" s="18">
        <f>'Formato 6 a)'!E30</f>
        <v>24500</v>
      </c>
      <c r="T23" s="18">
        <f>'Formato 6 a)'!F30</f>
        <v>24500</v>
      </c>
      <c r="U23" s="18">
        <f>'Formato 6 a)'!G30</f>
        <v>17500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35000</v>
      </c>
      <c r="Q24" s="18">
        <f>'Formato 6 a)'!C31</f>
        <v>0</v>
      </c>
      <c r="R24" s="18">
        <f>'Formato 6 a)'!D31</f>
        <v>35000</v>
      </c>
      <c r="S24" s="18">
        <f>'Formato 6 a)'!E31</f>
        <v>49100.4</v>
      </c>
      <c r="T24" s="18">
        <f>'Formato 6 a)'!F31</f>
        <v>49100.4</v>
      </c>
      <c r="U24" s="18">
        <f>'Formato 6 a)'!G31</f>
        <v>-14100.400000000001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23000</v>
      </c>
      <c r="Q25" s="18">
        <f>'Formato 6 a)'!C32</f>
        <v>0</v>
      </c>
      <c r="R25" s="18">
        <f>'Formato 6 a)'!D32</f>
        <v>23000</v>
      </c>
      <c r="S25" s="18">
        <f>'Formato 6 a)'!E32</f>
        <v>10510.76</v>
      </c>
      <c r="T25" s="18">
        <f>'Formato 6 a)'!F32</f>
        <v>10510.76</v>
      </c>
      <c r="U25" s="18">
        <f>'Formato 6 a)'!G32</f>
        <v>12489.24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325000</v>
      </c>
      <c r="Q26" s="18">
        <f>'Formato 6 a)'!C33</f>
        <v>0</v>
      </c>
      <c r="R26" s="18">
        <f>'Formato 6 a)'!D33</f>
        <v>325000</v>
      </c>
      <c r="S26" s="18">
        <f>'Formato 6 a)'!E33</f>
        <v>94755.15</v>
      </c>
      <c r="T26" s="18">
        <f>'Formato 6 a)'!F33</f>
        <v>94755.15</v>
      </c>
      <c r="U26" s="18">
        <f>'Formato 6 a)'!G33</f>
        <v>230244.85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2000</v>
      </c>
      <c r="Q27" s="18">
        <f>'Formato 6 a)'!C34</f>
        <v>0</v>
      </c>
      <c r="R27" s="18">
        <f>'Formato 6 a)'!D34</f>
        <v>2000</v>
      </c>
      <c r="S27" s="18">
        <f>'Formato 6 a)'!E34</f>
        <v>16240</v>
      </c>
      <c r="T27" s="18">
        <f>'Formato 6 a)'!F34</f>
        <v>16240</v>
      </c>
      <c r="U27" s="18">
        <f>'Formato 6 a)'!G34</f>
        <v>-14240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5500</v>
      </c>
      <c r="Q28" s="18">
        <f>'Formato 6 a)'!C35</f>
        <v>0</v>
      </c>
      <c r="R28" s="18">
        <f>'Formato 6 a)'!D35</f>
        <v>5500</v>
      </c>
      <c r="S28" s="18">
        <f>'Formato 6 a)'!E35</f>
        <v>3766</v>
      </c>
      <c r="T28" s="18">
        <f>'Formato 6 a)'!F35</f>
        <v>3766</v>
      </c>
      <c r="U28" s="18">
        <f>'Formato 6 a)'!G35</f>
        <v>1734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400000</v>
      </c>
      <c r="Q29" s="18">
        <f>'Formato 6 a)'!C36</f>
        <v>0</v>
      </c>
      <c r="R29" s="18">
        <f>'Formato 6 a)'!D36</f>
        <v>400000</v>
      </c>
      <c r="S29" s="18">
        <f>'Formato 6 a)'!E36</f>
        <v>56611.72</v>
      </c>
      <c r="T29" s="18">
        <f>'Formato 6 a)'!F36</f>
        <v>56611.72</v>
      </c>
      <c r="U29" s="18">
        <f>'Formato 6 a)'!G36</f>
        <v>343388.28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129712.3</v>
      </c>
      <c r="Q30" s="18">
        <f>'Formato 6 a)'!C37</f>
        <v>0</v>
      </c>
      <c r="R30" s="18">
        <f>'Formato 6 a)'!D37</f>
        <v>129712.3</v>
      </c>
      <c r="S30" s="18">
        <f>'Formato 6 a)'!E37</f>
        <v>36475.03</v>
      </c>
      <c r="T30" s="18">
        <f>'Formato 6 a)'!F37</f>
        <v>36475.03</v>
      </c>
      <c r="U30" s="18">
        <f>'Formato 6 a)'!G37</f>
        <v>93237.27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221764.61</v>
      </c>
      <c r="Q31" s="18">
        <f>'Formato 6 a)'!C38</f>
        <v>0</v>
      </c>
      <c r="R31" s="18">
        <f>'Formato 6 a)'!D38</f>
        <v>221764.61</v>
      </c>
      <c r="S31" s="18">
        <f>'Formato 6 a)'!E38</f>
        <v>5739.91</v>
      </c>
      <c r="T31" s="18">
        <f>'Formato 6 a)'!F38</f>
        <v>5739.91</v>
      </c>
      <c r="U31" s="18">
        <f>'Formato 6 a)'!G38</f>
        <v>216024.69999999998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221764.61</v>
      </c>
      <c r="Q35" s="18">
        <f>'Formato 6 a)'!C42</f>
        <v>0</v>
      </c>
      <c r="R35" s="18">
        <f>'Formato 6 a)'!D42</f>
        <v>221764.61</v>
      </c>
      <c r="S35" s="18">
        <f>'Formato 6 a)'!E42</f>
        <v>5739.91</v>
      </c>
      <c r="T35" s="18">
        <f>'Formato 6 a)'!F42</f>
        <v>5739.91</v>
      </c>
      <c r="U35" s="18">
        <f>'Formato 6 a)'!G42</f>
        <v>216024.69999999998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14547</v>
      </c>
      <c r="T41" s="18">
        <f>'Formato 6 a)'!F48</f>
        <v>14547</v>
      </c>
      <c r="U41" s="18">
        <f>'Formato 6 a)'!G48</f>
        <v>-14547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14547</v>
      </c>
      <c r="T42" s="18">
        <f>'Formato 6 a)'!F49</f>
        <v>14547</v>
      </c>
      <c r="U42" s="18">
        <f>'Formato 6 a)'!G49</f>
        <v>-14547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255824</v>
      </c>
      <c r="Q68" s="18">
        <f>'Formato 6 a)'!C75</f>
        <v>0</v>
      </c>
      <c r="R68" s="18">
        <f>'Formato 6 a)'!D75</f>
        <v>255824</v>
      </c>
      <c r="S68" s="18">
        <f>'Formato 6 a)'!E75</f>
        <v>0</v>
      </c>
      <c r="T68" s="18">
        <f>'Formato 6 a)'!F75</f>
        <v>0</v>
      </c>
      <c r="U68" s="18">
        <f>'Formato 6 a)'!G75</f>
        <v>255824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255824</v>
      </c>
      <c r="Q69" s="18">
        <f>'Formato 6 a)'!C76</f>
        <v>0</v>
      </c>
      <c r="R69" s="18">
        <f>'Formato 6 a)'!D76</f>
        <v>255824</v>
      </c>
      <c r="S69" s="18">
        <f>'Formato 6 a)'!E76</f>
        <v>0</v>
      </c>
      <c r="T69" s="18">
        <f>'Formato 6 a)'!F76</f>
        <v>0</v>
      </c>
      <c r="U69" s="18">
        <f>'Formato 6 a)'!G76</f>
        <v>255824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7701000</v>
      </c>
      <c r="Q150">
        <f>'Formato 6 a)'!C159</f>
        <v>0</v>
      </c>
      <c r="R150">
        <f>'Formato 6 a)'!D159</f>
        <v>7701000</v>
      </c>
      <c r="S150">
        <f>'Formato 6 a)'!E159</f>
        <v>4198682.03</v>
      </c>
      <c r="T150">
        <f>'Formato 6 a)'!F159</f>
        <v>4298682.03</v>
      </c>
      <c r="U150">
        <f>'Formato 6 a)'!G159</f>
        <v>3502317.9699999997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2"/>
  <sheetViews>
    <sheetView showGridLines="0" zoomScale="90" zoomScaleNormal="90" workbookViewId="0">
      <selection activeCell="F19" sqref="F1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marzo de 2020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7701000</v>
      </c>
      <c r="C9" s="59">
        <f>SUM(C10:GASTO_NE_FIN_02)</f>
        <v>0</v>
      </c>
      <c r="D9" s="59">
        <f>SUM(D10:GASTO_NE_FIN_03)</f>
        <v>7701000</v>
      </c>
      <c r="E9" s="59">
        <f>SUM(E10:GASTO_NE_FIN_04)</f>
        <v>4198682.0299999993</v>
      </c>
      <c r="F9" s="59">
        <f>SUM(F10:GASTO_NE_FIN_05)</f>
        <v>4198682.0299999993</v>
      </c>
      <c r="G9" s="59">
        <f>SUM(G10:GASTO_NE_FIN_06)</f>
        <v>3502317.9699999988</v>
      </c>
    </row>
    <row r="10" spans="1:7" s="24" customFormat="1" ht="14.25" x14ac:dyDescent="0.45">
      <c r="A10" s="144" t="s">
        <v>3305</v>
      </c>
      <c r="B10" s="60">
        <v>4000974.67</v>
      </c>
      <c r="C10" s="60">
        <v>0</v>
      </c>
      <c r="D10" s="60">
        <f>B10</f>
        <v>4000974.67</v>
      </c>
      <c r="E10" s="60">
        <v>1776650.37</v>
      </c>
      <c r="F10" s="60">
        <v>1776650.37</v>
      </c>
      <c r="G10" s="77">
        <f>D10-E10</f>
        <v>2224324.2999999998</v>
      </c>
    </row>
    <row r="11" spans="1:7" s="24" customFormat="1" ht="14.25" x14ac:dyDescent="0.45">
      <c r="A11" s="144" t="s">
        <v>3306</v>
      </c>
      <c r="B11" s="60">
        <v>225939.78</v>
      </c>
      <c r="C11" s="60">
        <v>0</v>
      </c>
      <c r="D11" s="60">
        <f t="shared" ref="D11:D18" si="0">B11</f>
        <v>225939.78</v>
      </c>
      <c r="E11" s="60">
        <v>139567.10999999999</v>
      </c>
      <c r="F11" s="60">
        <v>139567.10999999999</v>
      </c>
      <c r="G11" s="77">
        <f t="shared" ref="G11:G18" si="1">D11-E11</f>
        <v>86372.670000000013</v>
      </c>
    </row>
    <row r="12" spans="1:7" s="24" customFormat="1" ht="14.25" x14ac:dyDescent="0.45">
      <c r="A12" s="144" t="s">
        <v>3307</v>
      </c>
      <c r="B12" s="60">
        <v>147047.76</v>
      </c>
      <c r="C12" s="60">
        <v>0</v>
      </c>
      <c r="D12" s="60">
        <f t="shared" si="0"/>
        <v>147047.76</v>
      </c>
      <c r="E12" s="60">
        <v>86284</v>
      </c>
      <c r="F12" s="60">
        <v>86284</v>
      </c>
      <c r="G12" s="77">
        <f t="shared" si="1"/>
        <v>60763.760000000009</v>
      </c>
    </row>
    <row r="13" spans="1:7" s="24" customFormat="1" ht="14.25" x14ac:dyDescent="0.45">
      <c r="A13" s="144" t="s">
        <v>3308</v>
      </c>
      <c r="B13" s="60">
        <v>296737.44</v>
      </c>
      <c r="C13" s="60">
        <v>0</v>
      </c>
      <c r="D13" s="60">
        <f t="shared" si="0"/>
        <v>296737.44</v>
      </c>
      <c r="E13" s="60">
        <v>228598.39999999999</v>
      </c>
      <c r="F13" s="60">
        <v>228598.39999999999</v>
      </c>
      <c r="G13" s="77">
        <f t="shared" si="1"/>
        <v>68139.040000000008</v>
      </c>
    </row>
    <row r="14" spans="1:7" s="24" customFormat="1" ht="14.25" x14ac:dyDescent="0.45">
      <c r="A14" s="144" t="s">
        <v>3309</v>
      </c>
      <c r="B14" s="60">
        <v>1050941.4099999999</v>
      </c>
      <c r="C14" s="60">
        <v>0</v>
      </c>
      <c r="D14" s="60">
        <f t="shared" si="0"/>
        <v>1050941.4099999999</v>
      </c>
      <c r="E14" s="60">
        <v>655699.86</v>
      </c>
      <c r="F14" s="60">
        <v>655699.86</v>
      </c>
      <c r="G14" s="77">
        <f t="shared" si="1"/>
        <v>395241.54999999993</v>
      </c>
    </row>
    <row r="15" spans="1:7" s="24" customFormat="1" ht="14.25" x14ac:dyDescent="0.45">
      <c r="A15" s="144" t="s">
        <v>3310</v>
      </c>
      <c r="B15" s="60">
        <v>326357.46000000002</v>
      </c>
      <c r="C15" s="60">
        <v>0</v>
      </c>
      <c r="D15" s="60">
        <f t="shared" si="0"/>
        <v>326357.46000000002</v>
      </c>
      <c r="E15" s="60">
        <v>216814.2</v>
      </c>
      <c r="F15" s="60">
        <v>216814.2</v>
      </c>
      <c r="G15" s="77">
        <f t="shared" si="1"/>
        <v>109543.26000000001</v>
      </c>
    </row>
    <row r="16" spans="1:7" s="24" customFormat="1" ht="14.25" x14ac:dyDescent="0.45">
      <c r="A16" s="144" t="s">
        <v>3311</v>
      </c>
      <c r="B16" s="60">
        <v>660637.05000000005</v>
      </c>
      <c r="C16" s="60">
        <v>0</v>
      </c>
      <c r="D16" s="60">
        <f t="shared" si="0"/>
        <v>660637.05000000005</v>
      </c>
      <c r="E16" s="60">
        <v>459260.5</v>
      </c>
      <c r="F16" s="60">
        <v>459260.5</v>
      </c>
      <c r="G16" s="77">
        <f t="shared" si="1"/>
        <v>201376.55000000005</v>
      </c>
    </row>
    <row r="17" spans="1:7" s="24" customFormat="1" x14ac:dyDescent="0.25">
      <c r="A17" s="144" t="s">
        <v>3312</v>
      </c>
      <c r="B17" s="60">
        <v>615798.13</v>
      </c>
      <c r="C17" s="60">
        <v>0</v>
      </c>
      <c r="D17" s="60">
        <f t="shared" si="0"/>
        <v>615798.13</v>
      </c>
      <c r="E17" s="60">
        <v>390944.59</v>
      </c>
      <c r="F17" s="60">
        <v>390944.59</v>
      </c>
      <c r="G17" s="77">
        <f t="shared" si="1"/>
        <v>224853.53999999998</v>
      </c>
    </row>
    <row r="18" spans="1:7" s="24" customFormat="1" x14ac:dyDescent="0.25">
      <c r="A18" s="144" t="s">
        <v>3313</v>
      </c>
      <c r="B18" s="60">
        <v>376566.3</v>
      </c>
      <c r="C18" s="60">
        <v>0</v>
      </c>
      <c r="D18" s="60">
        <f t="shared" si="0"/>
        <v>376566.3</v>
      </c>
      <c r="E18" s="60">
        <v>244863</v>
      </c>
      <c r="F18" s="60">
        <v>244863</v>
      </c>
      <c r="G18" s="77">
        <f t="shared" si="1"/>
        <v>131703.29999999999</v>
      </c>
    </row>
    <row r="19" spans="1:7" x14ac:dyDescent="0.25">
      <c r="A19" s="76" t="s">
        <v>686</v>
      </c>
      <c r="B19" s="54"/>
      <c r="C19" s="54"/>
      <c r="D19" s="54"/>
      <c r="E19" s="54"/>
      <c r="F19" s="54"/>
      <c r="G19" s="54"/>
    </row>
    <row r="20" spans="1:7" s="24" customFormat="1" x14ac:dyDescent="0.25">
      <c r="A20" s="55" t="s">
        <v>441</v>
      </c>
      <c r="B20" s="61">
        <f>SUM(B21:GASTO_E_FIN_01)</f>
        <v>0</v>
      </c>
      <c r="C20" s="61">
        <f>SUM(C21:GASTO_E_FIN_02)</f>
        <v>0</v>
      </c>
      <c r="D20" s="61">
        <f>SUM(D21:GASTO_E_FIN_03)</f>
        <v>0</v>
      </c>
      <c r="E20" s="61">
        <f>SUM(E21:GASTO_E_FIN_04)</f>
        <v>0</v>
      </c>
      <c r="F20" s="61">
        <f>SUM(F21:GASTO_E_FIN_05)</f>
        <v>0</v>
      </c>
      <c r="G20" s="61">
        <f>SUM(G21:GASTO_E_FIN_06)</f>
        <v>0</v>
      </c>
    </row>
    <row r="21" spans="1:7" s="24" customFormat="1" x14ac:dyDescent="0.25">
      <c r="A21" s="144" t="s">
        <v>432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>D21-E21</f>
        <v>0</v>
      </c>
    </row>
    <row r="22" spans="1:7" s="24" customFormat="1" x14ac:dyDescent="0.25">
      <c r="A22" s="144" t="s">
        <v>433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ref="G22:G28" si="2">D22-E22</f>
        <v>0</v>
      </c>
    </row>
    <row r="23" spans="1:7" s="24" customFormat="1" x14ac:dyDescent="0.25">
      <c r="A23" s="144" t="s">
        <v>434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s="24" customFormat="1" x14ac:dyDescent="0.25">
      <c r="A24" s="144" t="s">
        <v>435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s="24" customFormat="1" x14ac:dyDescent="0.25">
      <c r="A25" s="144" t="s">
        <v>436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s="24" customFormat="1" x14ac:dyDescent="0.25">
      <c r="A26" s="144" t="s">
        <v>437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s="24" customFormat="1" x14ac:dyDescent="0.25">
      <c r="A27" s="144" t="s">
        <v>438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s="24" customFormat="1" x14ac:dyDescent="0.25">
      <c r="A28" s="144" t="s">
        <v>439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f t="shared" si="2"/>
        <v>0</v>
      </c>
    </row>
    <row r="29" spans="1:7" x14ac:dyDescent="0.25">
      <c r="A29" s="76" t="s">
        <v>686</v>
      </c>
      <c r="B29" s="54"/>
      <c r="C29" s="54"/>
      <c r="D29" s="54"/>
      <c r="E29" s="54"/>
      <c r="F29" s="54"/>
      <c r="G29" s="54"/>
    </row>
    <row r="30" spans="1:7" x14ac:dyDescent="0.25">
      <c r="A30" s="55" t="s">
        <v>360</v>
      </c>
      <c r="B30" s="61">
        <f>GASTO_NE_T1+GASTO_E_T1</f>
        <v>7701000</v>
      </c>
      <c r="C30" s="61">
        <f>GASTO_NE_T2+GASTO_E_T2</f>
        <v>0</v>
      </c>
      <c r="D30" s="61">
        <f>GASTO_NE_T3+GASTO_E_T3</f>
        <v>7701000</v>
      </c>
      <c r="E30" s="61">
        <f>GASTO_NE_T4+GASTO_E_T4</f>
        <v>4198682.0299999993</v>
      </c>
      <c r="F30" s="61">
        <f>GASTO_NE_T5+GASTO_E_T5</f>
        <v>4198682.0299999993</v>
      </c>
      <c r="G30" s="61">
        <f>GASTO_NE_T6+GASTO_E_T6</f>
        <v>3502317.9699999988</v>
      </c>
    </row>
    <row r="31" spans="1:7" x14ac:dyDescent="0.25">
      <c r="A31" s="58"/>
      <c r="B31" s="65"/>
      <c r="C31" s="65"/>
      <c r="D31" s="65"/>
      <c r="E31" s="65"/>
      <c r="F31" s="65"/>
      <c r="G31" s="78"/>
    </row>
    <row r="32" spans="1:7" ht="14.25" hidden="1" x14ac:dyDescent="0.45">
      <c r="A32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0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7701000</v>
      </c>
      <c r="Q2" s="18">
        <f>GASTO_NE_T2</f>
        <v>0</v>
      </c>
      <c r="R2" s="18">
        <f>GASTO_NE_T3</f>
        <v>7701000</v>
      </c>
      <c r="S2" s="18">
        <f>GASTO_NE_T4</f>
        <v>4198682.0299999993</v>
      </c>
      <c r="T2" s="18">
        <f>GASTO_NE_T5</f>
        <v>4198682.0299999993</v>
      </c>
      <c r="U2" s="18">
        <f>GASTO_NE_T6</f>
        <v>3502317.9699999988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7701000</v>
      </c>
      <c r="Q4" s="18">
        <f>TOTAL_E_T2</f>
        <v>0</v>
      </c>
      <c r="R4" s="18">
        <f>TOTAL_E_T3</f>
        <v>7701000</v>
      </c>
      <c r="S4" s="18">
        <f>TOTAL_E_T4</f>
        <v>4198682.0299999993</v>
      </c>
      <c r="T4" s="18">
        <f>TOTAL_E_T5</f>
        <v>4198682.0299999993</v>
      </c>
      <c r="U4" s="18">
        <f>TOTAL_E_T6</f>
        <v>3502317.9699999988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5" zoomScale="90" zoomScaleNormal="90" workbookViewId="0">
      <selection activeCell="F23" sqref="F2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30 de marzo de 2020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7701000</v>
      </c>
      <c r="C9" s="70">
        <f t="shared" ref="C9:G9" si="0">SUM(C10,C19,C27,C37)</f>
        <v>0</v>
      </c>
      <c r="D9" s="70">
        <f t="shared" si="0"/>
        <v>7701000</v>
      </c>
      <c r="E9" s="70">
        <f t="shared" si="0"/>
        <v>4198682.03</v>
      </c>
      <c r="F9" s="70">
        <f t="shared" si="0"/>
        <v>4198682.03</v>
      </c>
      <c r="G9" s="70">
        <f t="shared" si="0"/>
        <v>3502317.9699999997</v>
      </c>
    </row>
    <row r="10" spans="1:7" ht="14.25" x14ac:dyDescent="0.45">
      <c r="A10" s="53" t="s">
        <v>364</v>
      </c>
      <c r="B10" s="71">
        <f>SUM(B11:B18)</f>
        <v>5051916.08</v>
      </c>
      <c r="C10" s="71">
        <f t="shared" ref="C10:F10" si="1">SUM(C11:C18)</f>
        <v>0</v>
      </c>
      <c r="D10" s="71">
        <f t="shared" si="1"/>
        <v>5051916.08</v>
      </c>
      <c r="E10" s="71">
        <f t="shared" si="1"/>
        <v>2432350.23</v>
      </c>
      <c r="F10" s="71">
        <f t="shared" si="1"/>
        <v>2432350.23</v>
      </c>
      <c r="G10" s="71">
        <f>SUM(G11:G18)</f>
        <v>2619565.8499999996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1050941.4099999999</v>
      </c>
      <c r="C12" s="72">
        <v>0</v>
      </c>
      <c r="D12" s="72">
        <v>1050941.4099999999</v>
      </c>
      <c r="E12" s="72">
        <v>655699.86</v>
      </c>
      <c r="F12" s="72">
        <v>655699.86</v>
      </c>
      <c r="G12" s="72">
        <f t="shared" ref="G12:G18" si="2">D12-E12</f>
        <v>395241.54999999993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4000974.67</v>
      </c>
      <c r="C15" s="72">
        <v>0</v>
      </c>
      <c r="D15" s="72">
        <v>4000974.67</v>
      </c>
      <c r="E15" s="72">
        <v>1776650.37</v>
      </c>
      <c r="F15" s="72">
        <v>1776650.37</v>
      </c>
      <c r="G15" s="72">
        <f t="shared" si="2"/>
        <v>2224324.2999999998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2649083.92</v>
      </c>
      <c r="C19" s="71">
        <f t="shared" ref="C19:F19" si="3">SUM(C20:C26)</f>
        <v>0</v>
      </c>
      <c r="D19" s="71">
        <f t="shared" si="3"/>
        <v>2649083.92</v>
      </c>
      <c r="E19" s="71">
        <f t="shared" si="3"/>
        <v>1766331.8</v>
      </c>
      <c r="F19" s="71">
        <f t="shared" si="3"/>
        <v>1766331.8</v>
      </c>
      <c r="G19" s="71">
        <f>SUM(G20:G26)</f>
        <v>882752.11999999988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ht="14.25" x14ac:dyDescent="0.45">
      <c r="A21" s="63" t="s">
        <v>375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2">
        <f t="shared" ref="G21:G26" si="4">D21-E21</f>
        <v>0</v>
      </c>
    </row>
    <row r="22" spans="1:7" ht="14.25" x14ac:dyDescent="0.45">
      <c r="A22" s="63" t="s">
        <v>376</v>
      </c>
      <c r="B22" s="71">
        <v>2649083.92</v>
      </c>
      <c r="C22" s="71">
        <v>0</v>
      </c>
      <c r="D22" s="71">
        <v>2649083.92</v>
      </c>
      <c r="E22" s="71">
        <v>1766331.8</v>
      </c>
      <c r="F22" s="71">
        <v>1766331.8</v>
      </c>
      <c r="G22" s="72">
        <f t="shared" si="4"/>
        <v>882752.11999999988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ht="14.25" x14ac:dyDescent="0.4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ht="14.25" x14ac:dyDescent="0.4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ht="14.25" x14ac:dyDescent="0.4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ht="14.25" x14ac:dyDescent="0.4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ht="14.25" x14ac:dyDescent="0.4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25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3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3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3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3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3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5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5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5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5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5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5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5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7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7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7701000</v>
      </c>
      <c r="C77" s="73">
        <f t="shared" ref="C77:F77" si="18">C43+C9</f>
        <v>0</v>
      </c>
      <c r="D77" s="73">
        <f t="shared" si="18"/>
        <v>7701000</v>
      </c>
      <c r="E77" s="73">
        <f t="shared" si="18"/>
        <v>4198682.03</v>
      </c>
      <c r="F77" s="73">
        <f t="shared" si="18"/>
        <v>4198682.03</v>
      </c>
      <c r="G77" s="73">
        <f>G43+G9</f>
        <v>3502317.9699999997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7701000</v>
      </c>
      <c r="Q2" s="18">
        <f>'Formato 6 c)'!C9</f>
        <v>0</v>
      </c>
      <c r="R2" s="18">
        <f>'Formato 6 c)'!D9</f>
        <v>7701000</v>
      </c>
      <c r="S2" s="18">
        <f>'Formato 6 c)'!E9</f>
        <v>4198682.03</v>
      </c>
      <c r="T2" s="18">
        <f>'Formato 6 c)'!F9</f>
        <v>4198682.03</v>
      </c>
      <c r="U2" s="18">
        <f>'Formato 6 c)'!G9</f>
        <v>3502317.9699999997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5051916.08</v>
      </c>
      <c r="Q3" s="18">
        <f>'Formato 6 c)'!C10</f>
        <v>0</v>
      </c>
      <c r="R3" s="18">
        <f>'Formato 6 c)'!D10</f>
        <v>5051916.08</v>
      </c>
      <c r="S3" s="18">
        <f>'Formato 6 c)'!E10</f>
        <v>2432350.23</v>
      </c>
      <c r="T3" s="18">
        <f>'Formato 6 c)'!F10</f>
        <v>2432350.23</v>
      </c>
      <c r="U3" s="18">
        <f>'Formato 6 c)'!G10</f>
        <v>2619565.8499999996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1050941.4099999999</v>
      </c>
      <c r="Q5" s="18">
        <f>'Formato 6 c)'!C12</f>
        <v>0</v>
      </c>
      <c r="R5" s="18">
        <f>'Formato 6 c)'!D12</f>
        <v>1050941.4099999999</v>
      </c>
      <c r="S5" s="18">
        <f>'Formato 6 c)'!E12</f>
        <v>655699.86</v>
      </c>
      <c r="T5" s="18">
        <f>'Formato 6 c)'!F12</f>
        <v>655699.86</v>
      </c>
      <c r="U5" s="18">
        <f>'Formato 6 c)'!G12</f>
        <v>395241.54999999993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4000974.67</v>
      </c>
      <c r="Q8" s="18">
        <f>'Formato 6 c)'!C15</f>
        <v>0</v>
      </c>
      <c r="R8" s="18">
        <f>'Formato 6 c)'!D15</f>
        <v>4000974.67</v>
      </c>
      <c r="S8" s="18">
        <f>'Formato 6 c)'!E15</f>
        <v>1776650.37</v>
      </c>
      <c r="T8" s="18">
        <f>'Formato 6 c)'!F15</f>
        <v>1776650.37</v>
      </c>
      <c r="U8" s="18">
        <f>'Formato 6 c)'!G15</f>
        <v>2224324.2999999998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2649083.92</v>
      </c>
      <c r="Q12" s="18">
        <f>'Formato 6 c)'!C19</f>
        <v>0</v>
      </c>
      <c r="R12" s="18">
        <f>'Formato 6 c)'!D19</f>
        <v>2649083.92</v>
      </c>
      <c r="S12" s="18">
        <f>'Formato 6 c)'!E19</f>
        <v>1766331.8</v>
      </c>
      <c r="T12" s="18">
        <f>'Formato 6 c)'!F19</f>
        <v>1766331.8</v>
      </c>
      <c r="U12" s="18">
        <f>'Formato 6 c)'!G19</f>
        <v>882752.11999999988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2649083.92</v>
      </c>
      <c r="Q15" s="18">
        <f>'Formato 6 c)'!C22</f>
        <v>0</v>
      </c>
      <c r="R15" s="18">
        <f>'Formato 6 c)'!D22</f>
        <v>2649083.92</v>
      </c>
      <c r="S15" s="18">
        <f>'Formato 6 c)'!E22</f>
        <v>1766331.8</v>
      </c>
      <c r="T15" s="18">
        <f>'Formato 6 c)'!F22</f>
        <v>1766331.8</v>
      </c>
      <c r="U15" s="18">
        <f>'Formato 6 c)'!G22</f>
        <v>882752.11999999988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7701000</v>
      </c>
      <c r="Q68" s="18">
        <f>'Formato 6 c)'!C77</f>
        <v>0</v>
      </c>
      <c r="R68" s="18">
        <f>'Formato 6 c)'!D77</f>
        <v>7701000</v>
      </c>
      <c r="S68" s="18">
        <f>'Formato 6 c)'!E77</f>
        <v>4198682.03</v>
      </c>
      <c r="T68" s="18">
        <f>'Formato 6 c)'!F77</f>
        <v>4198682.03</v>
      </c>
      <c r="U68" s="18">
        <f>'Formato 6 c)'!G77</f>
        <v>3502317.9699999997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Cd. Manuel Doblado, Gto., Gobierno del Estado de Guanajuato</v>
      </c>
    </row>
    <row r="7" spans="2:3" ht="14.25" x14ac:dyDescent="0.45">
      <c r="C7" t="str">
        <f>CONCATENATE(ENTE_PUBLICO," (a)")</f>
        <v>Sistema para el Desarrollo Integral de la Familia del Municipio de Cd. Manuel Doblado,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1148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Manuel Doblado, Gobierno del Estado de Guanajuato</v>
      </c>
    </row>
    <row r="12" spans="2:3" x14ac:dyDescent="0.25">
      <c r="B12" t="s">
        <v>794</v>
      </c>
      <c r="C12" s="24">
        <v>2020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2020 (m = g – l)</v>
      </c>
    </row>
    <row r="20" spans="4:9" ht="57" x14ac:dyDescent="0.4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ht="14.25" x14ac:dyDescent="0.4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D10" sqref="D10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30 de marzo de 2020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5549882.5899999999</v>
      </c>
      <c r="C9" s="66">
        <f t="shared" ref="C9:F9" si="0">SUM(C10,C11,C12,C15,C16,C19)</f>
        <v>0</v>
      </c>
      <c r="D9" s="66">
        <f t="shared" si="0"/>
        <v>5549882.5899999999</v>
      </c>
      <c r="E9" s="66">
        <f t="shared" si="0"/>
        <v>3273310.28</v>
      </c>
      <c r="F9" s="66">
        <f t="shared" si="0"/>
        <v>3273310.28</v>
      </c>
      <c r="G9" s="66">
        <f>SUM(G10,G11,G12,G15,G16,G19)</f>
        <v>2276572.31</v>
      </c>
    </row>
    <row r="10" spans="1:7" ht="14.25" x14ac:dyDescent="0.45">
      <c r="A10" s="53" t="s">
        <v>401</v>
      </c>
      <c r="B10" s="67">
        <v>5549882.5899999999</v>
      </c>
      <c r="C10" s="67">
        <v>0</v>
      </c>
      <c r="D10" s="67">
        <v>5549882.5899999999</v>
      </c>
      <c r="E10" s="67">
        <v>3273310.28</v>
      </c>
      <c r="F10" s="67">
        <v>3273310.28</v>
      </c>
      <c r="G10" s="67">
        <f>D10-E10</f>
        <v>2276572.31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5549882.5899999999</v>
      </c>
      <c r="C33" s="66">
        <f t="shared" ref="C33:G33" si="9">C21+C9</f>
        <v>0</v>
      </c>
      <c r="D33" s="66">
        <f t="shared" si="9"/>
        <v>5549882.5899999999</v>
      </c>
      <c r="E33" s="66">
        <f t="shared" si="9"/>
        <v>3273310.28</v>
      </c>
      <c r="F33" s="66">
        <f t="shared" si="9"/>
        <v>3273310.28</v>
      </c>
      <c r="G33" s="66">
        <f t="shared" si="9"/>
        <v>2276572.31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5549882.5899999999</v>
      </c>
      <c r="Q2" s="18">
        <f>'Formato 6 d)'!C9</f>
        <v>0</v>
      </c>
      <c r="R2" s="18">
        <f>'Formato 6 d)'!D9</f>
        <v>5549882.5899999999</v>
      </c>
      <c r="S2" s="18">
        <f>'Formato 6 d)'!E9</f>
        <v>3273310.28</v>
      </c>
      <c r="T2" s="18">
        <f>'Formato 6 d)'!F9</f>
        <v>3273310.28</v>
      </c>
      <c r="U2" s="18">
        <f>'Formato 6 d)'!G9</f>
        <v>2276572.31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5549882.5899999999</v>
      </c>
      <c r="Q3" s="18">
        <f>'Formato 6 d)'!C10</f>
        <v>0</v>
      </c>
      <c r="R3" s="18">
        <f>'Formato 6 d)'!D10</f>
        <v>5549882.5899999999</v>
      </c>
      <c r="S3" s="18">
        <f>'Formato 6 d)'!E10</f>
        <v>3273310.28</v>
      </c>
      <c r="T3" s="18">
        <f>'Formato 6 d)'!F10</f>
        <v>3273310.28</v>
      </c>
      <c r="U3" s="18">
        <f>'Formato 6 d)'!G10</f>
        <v>2276572.31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5549882.5899999999</v>
      </c>
      <c r="Q24" s="18">
        <f>'Formato 6 d)'!C33</f>
        <v>0</v>
      </c>
      <c r="R24" s="18">
        <f>'Formato 6 d)'!D33</f>
        <v>5549882.5899999999</v>
      </c>
      <c r="S24" s="18">
        <f>'Formato 6 d)'!E33</f>
        <v>3273310.28</v>
      </c>
      <c r="T24" s="18">
        <f>'Formato 6 d)'!F33</f>
        <v>3273310.28</v>
      </c>
      <c r="U24" s="18">
        <f>'Formato 6 d)'!G33</f>
        <v>2276572.31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B35" sqref="B35:G36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Manuel Doblado,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2021</v>
      </c>
      <c r="C6" s="181" t="str">
        <f>ANIO2P</f>
        <v>2022 (d)</v>
      </c>
      <c r="D6" s="181" t="str">
        <f>ANIO3P</f>
        <v>2023 (d)</v>
      </c>
      <c r="E6" s="181" t="str">
        <f>ANIO4P</f>
        <v>2024 (d)</v>
      </c>
      <c r="F6" s="181" t="str">
        <f>ANIO5P</f>
        <v>2025 (d)</v>
      </c>
      <c r="G6" s="181" t="str">
        <f>ANIO6P</f>
        <v>2026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/>
      <c r="C9" s="60"/>
      <c r="D9" s="60"/>
      <c r="E9" s="60"/>
      <c r="F9" s="60"/>
      <c r="G9" s="60"/>
    </row>
    <row r="10" spans="1:7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7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7" ht="14.25" x14ac:dyDescent="0.45">
      <c r="A12" s="53" t="s">
        <v>416</v>
      </c>
      <c r="B12" s="60"/>
      <c r="C12" s="60"/>
      <c r="D12" s="60"/>
      <c r="E12" s="60"/>
      <c r="F12" s="60"/>
      <c r="G12" s="60"/>
    </row>
    <row r="13" spans="1:7" ht="14.25" x14ac:dyDescent="0.45">
      <c r="A13" s="53" t="s">
        <v>220</v>
      </c>
      <c r="B13" s="60"/>
      <c r="C13" s="60"/>
      <c r="D13" s="60"/>
      <c r="E13" s="60"/>
      <c r="F13" s="60"/>
      <c r="G13" s="60"/>
    </row>
    <row r="14" spans="1:7" ht="14.25" x14ac:dyDescent="0.45">
      <c r="A14" s="53" t="s">
        <v>221</v>
      </c>
      <c r="B14" s="60"/>
      <c r="C14" s="60"/>
      <c r="D14" s="60"/>
      <c r="E14" s="60"/>
      <c r="F14" s="60"/>
      <c r="G14" s="60"/>
    </row>
    <row r="15" spans="1:7" ht="14.25" x14ac:dyDescent="0.45">
      <c r="A15" s="53" t="s">
        <v>417</v>
      </c>
      <c r="B15" s="60"/>
      <c r="C15" s="60"/>
      <c r="D15" s="60"/>
      <c r="E15" s="60"/>
      <c r="F15" s="60"/>
      <c r="G15" s="60"/>
    </row>
    <row r="16" spans="1:7" ht="14.25" x14ac:dyDescent="0.4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ht="14.25" x14ac:dyDescent="0.45">
      <c r="A18" s="53" t="s">
        <v>240</v>
      </c>
      <c r="B18" s="60"/>
      <c r="C18" s="60"/>
      <c r="D18" s="60"/>
      <c r="E18" s="60"/>
      <c r="F18" s="60"/>
      <c r="G18" s="60"/>
    </row>
    <row r="19" spans="1:7" ht="14.25" x14ac:dyDescent="0.4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D18" sqref="D18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Manuel Doblado,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2021</v>
      </c>
      <c r="C6" s="181" t="str">
        <f>ANIO2P</f>
        <v>2022 (d)</v>
      </c>
      <c r="D6" s="181" t="str">
        <f>ANIO3P</f>
        <v>2023 (d)</v>
      </c>
      <c r="E6" s="181" t="str">
        <f>ANIO4P</f>
        <v>2024 (d)</v>
      </c>
      <c r="F6" s="181" t="str">
        <f>ANIO5P</f>
        <v>2025 (d)</v>
      </c>
      <c r="G6" s="181" t="str">
        <f>ANIO6P</f>
        <v>2026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/>
      <c r="C9" s="60"/>
      <c r="D9" s="60"/>
      <c r="E9" s="60"/>
      <c r="F9" s="60"/>
      <c r="G9" s="60"/>
    </row>
    <row r="10" spans="1:7" x14ac:dyDescent="0.25">
      <c r="A10" s="53" t="s">
        <v>455</v>
      </c>
      <c r="B10" s="60"/>
      <c r="C10" s="60"/>
      <c r="D10" s="60"/>
      <c r="E10" s="60"/>
      <c r="F10" s="60"/>
      <c r="G10" s="60"/>
    </row>
    <row r="11" spans="1:7" x14ac:dyDescent="0.25">
      <c r="A11" s="53" t="s">
        <v>456</v>
      </c>
      <c r="B11" s="60"/>
      <c r="C11" s="60"/>
      <c r="D11" s="60"/>
      <c r="E11" s="60"/>
      <c r="F11" s="60"/>
      <c r="G11" s="60"/>
    </row>
    <row r="12" spans="1:7" x14ac:dyDescent="0.25">
      <c r="A12" s="53" t="s">
        <v>457</v>
      </c>
      <c r="B12" s="60"/>
      <c r="C12" s="60"/>
      <c r="D12" s="60"/>
      <c r="E12" s="60"/>
      <c r="F12" s="60"/>
      <c r="G12" s="60"/>
    </row>
    <row r="13" spans="1:7" x14ac:dyDescent="0.25">
      <c r="A13" s="53" t="s">
        <v>458</v>
      </c>
      <c r="B13" s="60"/>
      <c r="C13" s="60"/>
      <c r="D13" s="60"/>
      <c r="E13" s="60"/>
      <c r="F13" s="60"/>
      <c r="G13" s="60"/>
    </row>
    <row r="14" spans="1:7" x14ac:dyDescent="0.25">
      <c r="A14" s="53" t="s">
        <v>459</v>
      </c>
      <c r="B14" s="60"/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G36" sqref="G36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Manuel Doblado,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2015 ¹ (c)</v>
      </c>
      <c r="C5" s="186" t="str">
        <f>ANIO4R</f>
        <v>2016 ¹ (c)</v>
      </c>
      <c r="D5" s="186" t="str">
        <f>ANIO3R</f>
        <v>2017 ¹ (c)</v>
      </c>
      <c r="E5" s="186" t="str">
        <f>ANIO2R</f>
        <v>2018 ¹ (c)</v>
      </c>
      <c r="F5" s="186" t="str">
        <f>ANIO1R</f>
        <v>2019 ¹ (c)</v>
      </c>
      <c r="G5" s="51">
        <f>ANIO_INFORME</f>
        <v>2020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5712115.6600000001</v>
      </c>
      <c r="E7" s="59">
        <f t="shared" si="0"/>
        <v>5728405</v>
      </c>
      <c r="F7" s="59">
        <f t="shared" si="0"/>
        <v>7632185.7300000004</v>
      </c>
      <c r="G7" s="59">
        <f t="shared" si="0"/>
        <v>0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185222</v>
      </c>
      <c r="E11" s="60">
        <v>116065</v>
      </c>
      <c r="F11" s="60">
        <v>197415.4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193991</v>
      </c>
      <c r="E14" s="60">
        <v>242340</v>
      </c>
      <c r="F14" s="60">
        <v>242981.08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5000000</v>
      </c>
      <c r="E17" s="60">
        <v>5250000</v>
      </c>
      <c r="F17" s="60">
        <v>6900000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332902.65999999997</v>
      </c>
      <c r="E18" s="60">
        <v>120000</v>
      </c>
      <c r="F18" s="60">
        <v>291789.25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5712115.6600000001</v>
      </c>
      <c r="E31" s="61">
        <f t="shared" si="3"/>
        <v>5728405</v>
      </c>
      <c r="F31" s="61">
        <f t="shared" si="3"/>
        <v>7632185.7300000004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5712115.6600000001</v>
      </c>
      <c r="S2" s="18">
        <f>'Formato 7 c)'!E7</f>
        <v>5728405</v>
      </c>
      <c r="T2" s="18">
        <f>'Formato 7 c)'!F7</f>
        <v>7632185.7300000004</v>
      </c>
      <c r="U2" s="18">
        <f>'Formato 7 c)'!G7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185222</v>
      </c>
      <c r="S6" s="18">
        <f>'Formato 7 c)'!E11</f>
        <v>116065</v>
      </c>
      <c r="T6" s="18">
        <f>'Formato 7 c)'!F11</f>
        <v>197415.4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193991</v>
      </c>
      <c r="S9" s="18">
        <f>'Formato 7 c)'!E14</f>
        <v>242340</v>
      </c>
      <c r="T9" s="18">
        <f>'Formato 7 c)'!F14</f>
        <v>242981.08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5000000</v>
      </c>
      <c r="S12" s="18">
        <f>'Formato 7 c)'!E17</f>
        <v>5250000</v>
      </c>
      <c r="T12" s="18">
        <f>'Formato 7 c)'!F17</f>
        <v>6900000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332902.65999999997</v>
      </c>
      <c r="S13" s="18">
        <f>'Formato 7 c)'!E18</f>
        <v>120000</v>
      </c>
      <c r="T13" s="18">
        <f>'Formato 7 c)'!F18</f>
        <v>291789.25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5712115.6600000001</v>
      </c>
      <c r="S23" s="18">
        <f>'Formato 7 c)'!E31</f>
        <v>5728405</v>
      </c>
      <c r="T23" s="18">
        <f>'Formato 7 c)'!F31</f>
        <v>7632185.7300000004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28" sqref="G2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Manuel Doblado,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2015 ¹ (c)</v>
      </c>
      <c r="C5" s="186" t="str">
        <f>ANIO4R</f>
        <v>2016 ¹ (c)</v>
      </c>
      <c r="D5" s="186" t="str">
        <f>ANIO3R</f>
        <v>2017 ¹ (c)</v>
      </c>
      <c r="E5" s="186" t="str">
        <f>ANIO2R</f>
        <v>2018 ¹ (c)</v>
      </c>
      <c r="F5" s="186" t="str">
        <f>ANIO1R</f>
        <v>2019 ¹ (c)</v>
      </c>
      <c r="G5" s="51">
        <f>ANIO_INFORME</f>
        <v>2020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5874837.3399999989</v>
      </c>
      <c r="E7" s="59">
        <f t="shared" si="0"/>
        <v>5923703.4299999997</v>
      </c>
      <c r="F7" s="59">
        <f t="shared" si="0"/>
        <v>7656462.6500000004</v>
      </c>
      <c r="G7" s="59">
        <f t="shared" si="0"/>
        <v>0</v>
      </c>
    </row>
    <row r="8" spans="1:7" x14ac:dyDescent="0.25">
      <c r="A8" s="53" t="s">
        <v>454</v>
      </c>
      <c r="B8" s="60">
        <v>0</v>
      </c>
      <c r="C8" s="60">
        <v>0</v>
      </c>
      <c r="D8" s="60">
        <v>4458751.5999999996</v>
      </c>
      <c r="E8" s="60">
        <v>4496920.1500000004</v>
      </c>
      <c r="F8" s="60">
        <v>5519430.5300000003</v>
      </c>
      <c r="G8" s="60">
        <v>0</v>
      </c>
    </row>
    <row r="9" spans="1:7" x14ac:dyDescent="0.25">
      <c r="A9" s="53" t="s">
        <v>455</v>
      </c>
      <c r="B9" s="60">
        <v>0</v>
      </c>
      <c r="C9" s="60">
        <v>0</v>
      </c>
      <c r="D9" s="60">
        <v>406463.01</v>
      </c>
      <c r="E9" s="60">
        <v>616673.18000000005</v>
      </c>
      <c r="F9" s="60">
        <v>923679.48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837768.47</v>
      </c>
      <c r="E10" s="60">
        <v>807185.1</v>
      </c>
      <c r="F10" s="60">
        <v>1064600.95</v>
      </c>
      <c r="G10" s="60">
        <v>0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28014.26</v>
      </c>
      <c r="E11" s="60">
        <v>618</v>
      </c>
      <c r="F11" s="60">
        <v>19861.45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143840</v>
      </c>
      <c r="E12" s="60">
        <v>2307</v>
      </c>
      <c r="F12" s="60">
        <v>128890.24000000001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5874837.3399999989</v>
      </c>
      <c r="E29" s="60">
        <f t="shared" si="2"/>
        <v>5923703.4299999997</v>
      </c>
      <c r="F29" s="60">
        <f t="shared" si="2"/>
        <v>7656462.6500000004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5874837.3399999989</v>
      </c>
      <c r="S2" s="18">
        <f>'Formato 7 d)'!E7</f>
        <v>5923703.4299999997</v>
      </c>
      <c r="T2" s="18">
        <f>'Formato 7 d)'!F7</f>
        <v>7656462.6500000004</v>
      </c>
      <c r="U2" s="18">
        <f>'Formato 7 d)'!G7</f>
        <v>0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4458751.5999999996</v>
      </c>
      <c r="S3" s="18">
        <f>'Formato 7 d)'!E8</f>
        <v>4496920.1500000004</v>
      </c>
      <c r="T3" s="18">
        <f>'Formato 7 d)'!F8</f>
        <v>5519430.5300000003</v>
      </c>
      <c r="U3" s="18">
        <f>'Formato 7 d)'!G8</f>
        <v>0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406463.01</v>
      </c>
      <c r="S4" s="18">
        <f>'Formato 7 d)'!E9</f>
        <v>616673.18000000005</v>
      </c>
      <c r="T4" s="18">
        <f>'Formato 7 d)'!F9</f>
        <v>923679.48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837768.47</v>
      </c>
      <c r="S5" s="18">
        <f>'Formato 7 d)'!E10</f>
        <v>807185.1</v>
      </c>
      <c r="T5" s="18">
        <f>'Formato 7 d)'!F10</f>
        <v>1064600.95</v>
      </c>
      <c r="U5" s="18">
        <f>'Formato 7 d)'!G10</f>
        <v>0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28014.26</v>
      </c>
      <c r="S6" s="18">
        <f>'Formato 7 d)'!E11</f>
        <v>618</v>
      </c>
      <c r="T6" s="18">
        <f>'Formato 7 d)'!F11</f>
        <v>19861.45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143840</v>
      </c>
      <c r="S7" s="18">
        <f>'Formato 7 d)'!E12</f>
        <v>2307</v>
      </c>
      <c r="T7" s="18">
        <f>'Formato 7 d)'!F12</f>
        <v>128890.24000000001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5874837.3399999989</v>
      </c>
      <c r="S22" s="18">
        <f>'Formato 7 d)'!E29</f>
        <v>5923703.4299999997</v>
      </c>
      <c r="T22" s="18">
        <f>'Formato 7 d)'!F29</f>
        <v>7656462.6500000004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Sistema para el Desarrollo Integral de la Familia del Municipio de Cd. Manuel Doblado,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D23" sqref="D23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2019 y al 30 de marzo de 2020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2020 (d)</v>
      </c>
      <c r="C6" s="131" t="str">
        <f>ULTIMO</f>
        <v>31 de diciembre de 2019 (e)</v>
      </c>
      <c r="D6" s="135" t="s">
        <v>0</v>
      </c>
      <c r="E6" s="134" t="str">
        <f>ANIO</f>
        <v>2020 (d)</v>
      </c>
      <c r="F6" s="131" t="str">
        <f>ULTIMO</f>
        <v>31 de diciembre de 2019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515478.78</v>
      </c>
      <c r="C9" s="60">
        <f>SUM(C10:C16)</f>
        <v>-223169.86</v>
      </c>
      <c r="D9" s="100" t="s">
        <v>54</v>
      </c>
      <c r="E9" s="60">
        <f>SUM(E10:E18)</f>
        <v>1510404.11</v>
      </c>
      <c r="F9" s="60">
        <f>SUM(F10:F18)</f>
        <v>1549547.34</v>
      </c>
    </row>
    <row r="10" spans="1:6" ht="14.25" x14ac:dyDescent="0.45">
      <c r="A10" s="96" t="s">
        <v>4</v>
      </c>
      <c r="B10" s="60">
        <v>515478.78</v>
      </c>
      <c r="C10" s="60">
        <v>-223169.86</v>
      </c>
      <c r="D10" s="101" t="s">
        <v>55</v>
      </c>
      <c r="E10" s="60">
        <v>1510404.11</v>
      </c>
      <c r="F10" s="60">
        <v>1549547.34</v>
      </c>
    </row>
    <row r="11" spans="1:6" x14ac:dyDescent="0.25">
      <c r="A11" s="96" t="s">
        <v>5</v>
      </c>
      <c r="B11" s="60">
        <v>0</v>
      </c>
      <c r="C11" s="60">
        <v>0</v>
      </c>
      <c r="D11" s="101" t="s">
        <v>56</v>
      </c>
      <c r="E11" s="60">
        <v>0</v>
      </c>
      <c r="F11" s="60">
        <v>0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ht="14.25" x14ac:dyDescent="0.4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ht="14.25" x14ac:dyDescent="0.45">
      <c r="A16" s="96" t="s">
        <v>10</v>
      </c>
      <c r="B16" s="60">
        <v>0</v>
      </c>
      <c r="C16" s="60">
        <v>0</v>
      </c>
      <c r="D16" s="101" t="s">
        <v>61</v>
      </c>
      <c r="E16" s="60">
        <v>0</v>
      </c>
      <c r="F16" s="60">
        <v>0</v>
      </c>
    </row>
    <row r="17" spans="1:6" ht="14.25" x14ac:dyDescent="0.45">
      <c r="A17" s="95" t="s">
        <v>11</v>
      </c>
      <c r="B17" s="60">
        <f>SUM(B18:B24)</f>
        <v>846641.75</v>
      </c>
      <c r="C17" s="60">
        <f>SUM(C18:C24)</f>
        <v>849002.77</v>
      </c>
      <c r="D17" s="101" t="s">
        <v>62</v>
      </c>
      <c r="E17" s="60">
        <v>0</v>
      </c>
      <c r="F17" s="60">
        <v>0</v>
      </c>
    </row>
    <row r="18" spans="1:6" ht="14.25" x14ac:dyDescent="0.45">
      <c r="A18" s="97" t="s">
        <v>12</v>
      </c>
      <c r="B18" s="60">
        <v>846641.75</v>
      </c>
      <c r="C18" s="60">
        <v>849002.77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9357.34</v>
      </c>
      <c r="F19" s="60">
        <f>SUM(F20:F22)</f>
        <v>9357.34</v>
      </c>
    </row>
    <row r="20" spans="1:6" x14ac:dyDescent="0.25">
      <c r="A20" s="97" t="s">
        <v>14</v>
      </c>
      <c r="B20" s="60">
        <v>0</v>
      </c>
      <c r="C20" s="60">
        <v>0</v>
      </c>
      <c r="D20" s="101" t="s">
        <v>65</v>
      </c>
      <c r="E20" s="60">
        <v>9357.34</v>
      </c>
      <c r="F20" s="60">
        <v>9357.34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1362120.53</v>
      </c>
      <c r="C47" s="61">
        <f>C9+C17+C25+C31+C38+C41</f>
        <v>625832.91</v>
      </c>
      <c r="D47" s="99" t="s">
        <v>91</v>
      </c>
      <c r="E47" s="61">
        <f>E9+E19+E23+E26+E27+E31+E38+E42</f>
        <v>1519761.4500000002</v>
      </c>
      <c r="F47" s="61">
        <f>F9+F19+F23+F26+F27+F31+F38+F42</f>
        <v>1558904.6800000002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0</v>
      </c>
      <c r="C52" s="60">
        <v>0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757083.61</v>
      </c>
      <c r="C53" s="60">
        <v>742536.61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37218.1</v>
      </c>
      <c r="C55" s="60">
        <v>37218.1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1519761.4500000002</v>
      </c>
      <c r="F59" s="61">
        <f>F47+F57</f>
        <v>1558904.6800000002</v>
      </c>
    </row>
    <row r="60" spans="1:6" x14ac:dyDescent="0.25">
      <c r="A60" s="55" t="s">
        <v>50</v>
      </c>
      <c r="B60" s="61">
        <f>SUM(B50:B58)</f>
        <v>794301.71</v>
      </c>
      <c r="C60" s="61">
        <f>SUM(C50:C58)</f>
        <v>779754.71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2156422.2400000002</v>
      </c>
      <c r="C62" s="61">
        <f>SUM(C47+C60)</f>
        <v>1405587.62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284034.3</v>
      </c>
      <c r="F63" s="77">
        <f>SUM(F64:F66)</f>
        <v>284034.3</v>
      </c>
    </row>
    <row r="64" spans="1:6" x14ac:dyDescent="0.25">
      <c r="A64" s="54"/>
      <c r="B64" s="54"/>
      <c r="C64" s="54"/>
      <c r="D64" s="103" t="s">
        <v>103</v>
      </c>
      <c r="E64" s="77">
        <v>284034.3</v>
      </c>
      <c r="F64" s="77">
        <v>284034.3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403302.14999999997</v>
      </c>
      <c r="F68" s="77">
        <f>SUM(F69:F73)</f>
        <v>-437351.36</v>
      </c>
    </row>
    <row r="69" spans="1:6" x14ac:dyDescent="0.25">
      <c r="A69" s="12"/>
      <c r="B69" s="54"/>
      <c r="C69" s="54"/>
      <c r="D69" s="103" t="s">
        <v>107</v>
      </c>
      <c r="E69" s="77">
        <v>843950.21</v>
      </c>
      <c r="F69" s="77">
        <v>125351</v>
      </c>
    </row>
    <row r="70" spans="1:6" x14ac:dyDescent="0.25">
      <c r="A70" s="12"/>
      <c r="B70" s="54"/>
      <c r="C70" s="54"/>
      <c r="D70" s="103" t="s">
        <v>108</v>
      </c>
      <c r="E70" s="77">
        <v>-440648.06</v>
      </c>
      <c r="F70" s="77">
        <v>-562702.36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687336.45</v>
      </c>
      <c r="F79" s="61">
        <f>F63+F68+F75</f>
        <v>-153317.06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2207097.9000000004</v>
      </c>
      <c r="F81" s="61">
        <f>F59+F79</f>
        <v>1405587.62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515478.78</v>
      </c>
      <c r="Q4" s="18">
        <f>'Formato 1'!C9</f>
        <v>-223169.86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515478.78</v>
      </c>
      <c r="Q5" s="18">
        <f>'Formato 1'!C10</f>
        <v>-223169.86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846641.75</v>
      </c>
      <c r="Q12" s="18">
        <f>'Formato 1'!C17</f>
        <v>849002.77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846641.75</v>
      </c>
      <c r="Q13" s="18">
        <f>'Formato 1'!C18</f>
        <v>849002.77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1362120.53</v>
      </c>
      <c r="Q42" s="18">
        <f>'Formato 1'!C47</f>
        <v>625832.91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757083.61</v>
      </c>
      <c r="Q47">
        <f>'Formato 1'!C53</f>
        <v>742536.61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37218.1</v>
      </c>
      <c r="Q49">
        <f>'Formato 1'!C55</f>
        <v>37218.1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794301.71</v>
      </c>
      <c r="Q53">
        <f>'Formato 1'!C60</f>
        <v>779754.71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2156422.2400000002</v>
      </c>
      <c r="Q54">
        <f>'Formato 1'!C62</f>
        <v>1405587.62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1510404.11</v>
      </c>
      <c r="Q57">
        <f>'Formato 1'!F9</f>
        <v>1549547.34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1510404.11</v>
      </c>
      <c r="Q58">
        <f>'Formato 1'!F10</f>
        <v>1549547.34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0</v>
      </c>
      <c r="Q64">
        <f>'Formato 1'!F16</f>
        <v>0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9357.34</v>
      </c>
      <c r="Q67">
        <f>'Formato 1'!F19</f>
        <v>9357.34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9357.34</v>
      </c>
      <c r="Q68">
        <f>'Formato 1'!F20</f>
        <v>9357.34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1519761.4500000002</v>
      </c>
      <c r="Q95">
        <f>'Formato 1'!F47</f>
        <v>1558904.6800000002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1519761.4500000002</v>
      </c>
      <c r="Q104">
        <f>'Formato 1'!F59</f>
        <v>1558904.6800000002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284034.3</v>
      </c>
      <c r="Q106">
        <f>'Formato 1'!F63</f>
        <v>284034.3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284034.3</v>
      </c>
      <c r="Q107">
        <f>'Formato 1'!F64</f>
        <v>284034.3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403302.14999999997</v>
      </c>
      <c r="Q110">
        <f>'Formato 1'!F68</f>
        <v>-437351.36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843950.21</v>
      </c>
      <c r="Q111">
        <f>'Formato 1'!F69</f>
        <v>125351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-440648.06</v>
      </c>
      <c r="Q112">
        <f>'Formato 1'!F70</f>
        <v>-562702.36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687336.45</v>
      </c>
      <c r="Q119">
        <f>'Formato 1'!F79</f>
        <v>-153317.06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2207097.9000000004</v>
      </c>
      <c r="Q120">
        <f>'Formato 1'!F81</f>
        <v>1405587.62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10" zoomScale="90" zoomScaleNormal="90" workbookViewId="0">
      <selection activeCell="B19" sqref="B19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2019 y al 30 de marzo de 2020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2019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ht="14.25" x14ac:dyDescent="0.4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1558904.68</v>
      </c>
      <c r="C18" s="132"/>
      <c r="D18" s="132"/>
      <c r="E18" s="132"/>
      <c r="F18" s="61">
        <v>1519761.45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1558904.68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1519761.45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1558904.68</v>
      </c>
      <c r="Q12" s="18"/>
      <c r="R12" s="18"/>
      <c r="S12" s="18"/>
      <c r="T12" s="18">
        <f>'Formato 2'!F18</f>
        <v>1519761.45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1558904.68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1519761.45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G15" sqref="G15:J18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Sistema para el Desarrollo Integral de la Familia del Municipio de Cd. Manuel Doblado,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30 de marzo de 2020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2020 (k)</v>
      </c>
      <c r="J6" s="131" t="str">
        <f>MONTO2</f>
        <v>Monto pagado de la inversión actualizado al 30 de marzo de 2020 (l)</v>
      </c>
      <c r="K6" s="131" t="str">
        <f>SALDO_PENDIENTE</f>
        <v>Saldo pendiente por pagar de la inversión al 30 de marzo de 2020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/>
      <c r="H15" s="60"/>
      <c r="I15" s="60"/>
      <c r="J15" s="60"/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/>
      <c r="H16" s="60"/>
      <c r="I16" s="60"/>
      <c r="J16" s="60"/>
      <c r="K16" s="60">
        <f t="shared" ref="K16:K18" si="1"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/>
      <c r="H17" s="60"/>
      <c r="I17" s="60"/>
      <c r="J17" s="60"/>
      <c r="K17" s="60">
        <f t="shared" si="1"/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/>
      <c r="H18" s="60"/>
      <c r="I18" s="60"/>
      <c r="J18" s="60"/>
      <c r="K18" s="60">
        <f t="shared" si="1"/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Contabilidad</cp:lastModifiedBy>
  <cp:lastPrinted>2017-02-04T00:56:20Z</cp:lastPrinted>
  <dcterms:created xsi:type="dcterms:W3CDTF">2017-01-19T17:59:06Z</dcterms:created>
  <dcterms:modified xsi:type="dcterms:W3CDTF">2021-01-18T18:40:55Z</dcterms:modified>
</cp:coreProperties>
</file>